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7635" windowHeight="11505" activeTab="0"/>
  </bookViews>
  <sheets>
    <sheet name="Výpočet kamen" sheetId="1" r:id="rId1"/>
  </sheets>
  <definedNames/>
  <calcPr fullCalcOnLoad="1" iterate="1" iterateCount="100" iterateDelta="0.001"/>
</workbook>
</file>

<file path=xl/comments1.xml><?xml version="1.0" encoding="utf-8"?>
<comments xmlns="http://schemas.openxmlformats.org/spreadsheetml/2006/main">
  <authors>
    <author>VEC</author>
    <author>vec</author>
  </authors>
  <commentList>
    <comment ref="B14" authorId="0">
      <text>
        <r>
          <rPr>
            <b/>
            <sz val="9"/>
            <rFont val="Tahoma"/>
            <family val="2"/>
          </rPr>
          <t>VEC:</t>
        </r>
        <r>
          <rPr>
            <sz val="9"/>
            <rFont val="Tahoma"/>
            <family val="2"/>
          </rPr>
          <t xml:space="preserve">
Minimálně 23cm</t>
        </r>
      </text>
    </comment>
    <comment ref="E27" authorId="1">
      <text>
        <r>
          <rPr>
            <b/>
            <sz val="9"/>
            <rFont val="Tahoma"/>
            <family val="2"/>
          </rPr>
          <t>vec:</t>
        </r>
        <r>
          <rPr>
            <sz val="9"/>
            <rFont val="Tahoma"/>
            <family val="2"/>
          </rPr>
          <t xml:space="preserve">
Musí být 1,2 až 6 m/s</t>
        </r>
      </text>
    </comment>
    <comment ref="G16" authorId="1">
      <text>
        <r>
          <rPr>
            <b/>
            <sz val="9"/>
            <rFont val="Tahoma"/>
            <family val="2"/>
          </rPr>
          <t>vec:</t>
        </r>
        <r>
          <rPr>
            <sz val="9"/>
            <rFont val="Tahoma"/>
            <family val="2"/>
          </rPr>
          <t xml:space="preserve">
Pokud nevyhovuje, je třeba upravit průřez tahu
</t>
        </r>
      </text>
    </comment>
    <comment ref="G15" authorId="1">
      <text>
        <r>
          <rPr>
            <b/>
            <sz val="9"/>
            <rFont val="Tahoma"/>
            <family val="2"/>
          </rPr>
          <t>vec:</t>
        </r>
        <r>
          <rPr>
            <sz val="9"/>
            <rFont val="Tahoma"/>
            <family val="2"/>
          </rPr>
          <t xml:space="preserve">
Pokud nevyhovuje, je třeba prodloužit tah L</t>
        </r>
        <r>
          <rPr>
            <sz val="8"/>
            <rFont val="Tahoma"/>
            <family val="2"/>
          </rPr>
          <t>z</t>
        </r>
      </text>
    </comment>
    <comment ref="G35" authorId="1">
      <text>
        <r>
          <rPr>
            <b/>
            <sz val="9"/>
            <rFont val="Tahoma"/>
            <family val="2"/>
          </rPr>
          <t>vec:</t>
        </r>
        <r>
          <rPr>
            <sz val="9"/>
            <rFont val="Tahoma"/>
            <family val="2"/>
          </rPr>
          <t xml:space="preserve">
Pokud je třeba zvýšit tah, je možné snížit tlakové ztráty (geometrie tahu, drsnost spalinovodu,zvětšit průřez tahu). 
Pokud je třeba snížit tah, pak je třeba zvýšit tlakové ztráty (zmenšit průřez tahu, snížit drsnost, geometrie tahu).</t>
        </r>
      </text>
    </comment>
    <comment ref="G37" authorId="1">
      <text>
        <r>
          <rPr>
            <b/>
            <sz val="9"/>
            <rFont val="Tahoma"/>
            <family val="2"/>
          </rPr>
          <t>vec:</t>
        </r>
        <r>
          <rPr>
            <sz val="9"/>
            <rFont val="Tahoma"/>
            <family val="2"/>
          </rPr>
          <t xml:space="preserve">
V případě, že nevyhovuje, je příliš vysoká teplota spalin, odcházejících do komína a tím vyšší komínová ztráta. Je třeba prodloužit tah, aby došlo k většímu vychlazení spalin.</t>
        </r>
      </text>
    </comment>
    <comment ref="G13" authorId="1">
      <text>
        <r>
          <rPr>
            <b/>
            <sz val="9"/>
            <rFont val="Tahoma"/>
            <family val="2"/>
          </rPr>
          <t>vec:</t>
        </r>
        <r>
          <rPr>
            <sz val="9"/>
            <rFont val="Tahoma"/>
            <family val="2"/>
          </rPr>
          <t xml:space="preserve">
Pokud je maximální délka komory menší než její minimální délka, pak je třeba zvolit menší šířku komory</t>
        </r>
      </text>
    </comment>
    <comment ref="G14" authorId="1">
      <text>
        <r>
          <rPr>
            <b/>
            <sz val="9"/>
            <rFont val="Tahoma"/>
            <family val="2"/>
          </rPr>
          <t>vec:</t>
        </r>
        <r>
          <rPr>
            <sz val="9"/>
            <rFont val="Tahoma"/>
            <family val="2"/>
          </rPr>
          <t xml:space="preserve">
Pokud nevyhoví, je třeba zmenšit půdorysnou plochu komory</t>
        </r>
      </text>
    </comment>
    <comment ref="G36" authorId="1">
      <text>
        <r>
          <rPr>
            <b/>
            <sz val="9"/>
            <rFont val="Tahoma"/>
            <family val="0"/>
          </rPr>
          <t>vec:</t>
        </r>
        <r>
          <rPr>
            <sz val="9"/>
            <rFont val="Tahoma"/>
            <family val="0"/>
          </rPr>
          <t xml:space="preserve">
Příliš nízká teplota v ústí komína</t>
        </r>
      </text>
    </comment>
  </commentList>
</comments>
</file>

<file path=xl/sharedStrings.xml><?xml version="1.0" encoding="utf-8"?>
<sst xmlns="http://schemas.openxmlformats.org/spreadsheetml/2006/main" count="119" uniqueCount="93">
  <si>
    <t>Akumulace:</t>
  </si>
  <si>
    <t>kW</t>
  </si>
  <si>
    <t>h</t>
  </si>
  <si>
    <t>kg</t>
  </si>
  <si>
    <t>Palivo</t>
  </si>
  <si>
    <r>
      <t>O</t>
    </r>
    <r>
      <rPr>
        <vertAlign val="subscript"/>
        <sz val="10"/>
        <rFont val="Arial"/>
        <family val="2"/>
      </rPr>
      <t>BR</t>
    </r>
  </si>
  <si>
    <r>
      <t>cm</t>
    </r>
    <r>
      <rPr>
        <vertAlign val="superscript"/>
        <sz val="10"/>
        <rFont val="Arial"/>
        <family val="2"/>
      </rPr>
      <t>2</t>
    </r>
  </si>
  <si>
    <r>
      <t>A</t>
    </r>
    <r>
      <rPr>
        <vertAlign val="subscript"/>
        <sz val="10"/>
        <rFont val="Arial"/>
        <family val="2"/>
      </rPr>
      <t>BRmin</t>
    </r>
  </si>
  <si>
    <r>
      <t>A</t>
    </r>
    <r>
      <rPr>
        <vertAlign val="subscript"/>
        <sz val="10"/>
        <rFont val="Arial"/>
        <family val="2"/>
      </rPr>
      <t>BRmax</t>
    </r>
  </si>
  <si>
    <r>
      <t>U</t>
    </r>
    <r>
      <rPr>
        <vertAlign val="subscript"/>
        <sz val="10"/>
        <rFont val="Arial"/>
        <family val="2"/>
      </rPr>
      <t>BR</t>
    </r>
  </si>
  <si>
    <t>cm</t>
  </si>
  <si>
    <t>Min. délka komory</t>
  </si>
  <si>
    <t>Max. délka komory</t>
  </si>
  <si>
    <t>Min. výška komory</t>
  </si>
  <si>
    <t>vyhovuje</t>
  </si>
  <si>
    <t>nevyhovuje</t>
  </si>
  <si>
    <t>Výpočetní software pro návrh akumulačních kachlových kamen</t>
  </si>
  <si>
    <t>Min. šířka komory</t>
  </si>
  <si>
    <t>Spalinový tah</t>
  </si>
  <si>
    <t>m</t>
  </si>
  <si>
    <t>ano</t>
  </si>
  <si>
    <t>ne</t>
  </si>
  <si>
    <t>Min. délka spalin. tahu</t>
  </si>
  <si>
    <r>
      <t>cm</t>
    </r>
    <r>
      <rPr>
        <b/>
        <vertAlign val="superscript"/>
        <sz val="10"/>
        <rFont val="Arial"/>
        <family val="2"/>
      </rPr>
      <t>2</t>
    </r>
  </si>
  <si>
    <t>Spalování</t>
  </si>
  <si>
    <t>kg/h</t>
  </si>
  <si>
    <t>Vzduchová štěrbina</t>
  </si>
  <si>
    <t>Šířka komory</t>
  </si>
  <si>
    <t>Délka komory</t>
  </si>
  <si>
    <t>Výška komory</t>
  </si>
  <si>
    <r>
      <t>Tok paliva m</t>
    </r>
    <r>
      <rPr>
        <vertAlign val="subscript"/>
        <sz val="10"/>
        <rFont val="Arial"/>
        <family val="2"/>
      </rPr>
      <t>BU</t>
    </r>
  </si>
  <si>
    <r>
      <t xml:space="preserve">Přebytek vzduchu </t>
    </r>
    <r>
      <rPr>
        <sz val="10"/>
        <rFont val="Calibri"/>
        <family val="2"/>
      </rPr>
      <t>λ</t>
    </r>
  </si>
  <si>
    <r>
      <t>m</t>
    </r>
    <r>
      <rPr>
        <vertAlign val="superscript"/>
        <sz val="10"/>
        <rFont val="Arial"/>
        <family val="2"/>
      </rPr>
      <t>3</t>
    </r>
    <r>
      <rPr>
        <sz val="10"/>
        <rFont val="Arial"/>
        <family val="0"/>
      </rPr>
      <t>/s</t>
    </r>
  </si>
  <si>
    <t>Teplota okolí</t>
  </si>
  <si>
    <t>°C</t>
  </si>
  <si>
    <t>Nadmořská výška</t>
  </si>
  <si>
    <r>
      <t>Průtok vzduchu V</t>
    </r>
    <r>
      <rPr>
        <vertAlign val="subscript"/>
        <sz val="10"/>
        <rFont val="Arial"/>
        <family val="2"/>
      </rPr>
      <t>L</t>
    </r>
  </si>
  <si>
    <r>
      <t>Průtok spalin V</t>
    </r>
    <r>
      <rPr>
        <vertAlign val="subscript"/>
        <sz val="10"/>
        <rFont val="Arial"/>
        <family val="2"/>
      </rPr>
      <t>G</t>
    </r>
  </si>
  <si>
    <r>
      <t>Hmot. průt. spal. m</t>
    </r>
    <r>
      <rPr>
        <vertAlign val="subscript"/>
        <sz val="10"/>
        <rFont val="Arial"/>
        <family val="2"/>
      </rPr>
      <t>G</t>
    </r>
  </si>
  <si>
    <r>
      <t>kg</t>
    </r>
    <r>
      <rPr>
        <sz val="10"/>
        <rFont val="Arial"/>
        <family val="0"/>
      </rPr>
      <t>/s</t>
    </r>
  </si>
  <si>
    <r>
      <t>Hustota spal. vzd. ρ</t>
    </r>
    <r>
      <rPr>
        <vertAlign val="subscript"/>
        <sz val="10"/>
        <rFont val="Arial"/>
        <family val="2"/>
      </rPr>
      <t>L</t>
    </r>
  </si>
  <si>
    <r>
      <t>kg/m</t>
    </r>
    <r>
      <rPr>
        <vertAlign val="superscript"/>
        <sz val="10"/>
        <rFont val="Arial"/>
        <family val="2"/>
      </rPr>
      <t>3</t>
    </r>
  </si>
  <si>
    <r>
      <t>Hustota spalin ρ</t>
    </r>
    <r>
      <rPr>
        <vertAlign val="subscript"/>
        <sz val="10"/>
        <rFont val="Arial"/>
        <family val="2"/>
      </rPr>
      <t>G</t>
    </r>
  </si>
  <si>
    <r>
      <t>kg/m</t>
    </r>
    <r>
      <rPr>
        <vertAlign val="superscript"/>
        <sz val="10"/>
        <rFont val="Arial"/>
        <family val="2"/>
      </rPr>
      <t>4</t>
    </r>
  </si>
  <si>
    <r>
      <t>Tep. spal. komory t</t>
    </r>
    <r>
      <rPr>
        <vertAlign val="subscript"/>
        <sz val="10"/>
        <rFont val="Arial"/>
        <family val="2"/>
      </rPr>
      <t>BR</t>
    </r>
  </si>
  <si>
    <t>Snížení teploty v tahu</t>
  </si>
  <si>
    <t>Hydraulika</t>
  </si>
  <si>
    <r>
      <t>Statický tah p</t>
    </r>
    <r>
      <rPr>
        <vertAlign val="subscript"/>
        <sz val="10"/>
        <rFont val="Arial"/>
        <family val="2"/>
      </rPr>
      <t>h</t>
    </r>
  </si>
  <si>
    <t>Účinná výška tahu</t>
  </si>
  <si>
    <t>Pa</t>
  </si>
  <si>
    <t>m/s</t>
  </si>
  <si>
    <t>Rychlost proudění</t>
  </si>
  <si>
    <t>1,2 až 6</t>
  </si>
  <si>
    <r>
      <t>m</t>
    </r>
    <r>
      <rPr>
        <vertAlign val="superscript"/>
        <sz val="10"/>
        <rFont val="Arial"/>
        <family val="2"/>
      </rPr>
      <t>2</t>
    </r>
  </si>
  <si>
    <r>
      <t>Tlaková ztráta třením p</t>
    </r>
    <r>
      <rPr>
        <vertAlign val="subscript"/>
        <sz val="10"/>
        <rFont val="Arial"/>
        <family val="2"/>
      </rPr>
      <t>R</t>
    </r>
  </si>
  <si>
    <r>
      <t>Hydraulický průměr D</t>
    </r>
    <r>
      <rPr>
        <vertAlign val="subscript"/>
        <sz val="10"/>
        <rFont val="Arial"/>
        <family val="2"/>
      </rPr>
      <t>h</t>
    </r>
  </si>
  <si>
    <t>Drsnost spalinovodu</t>
  </si>
  <si>
    <t>šamotové potrubí</t>
  </si>
  <si>
    <t>šamotové desky</t>
  </si>
  <si>
    <r>
      <t xml:space="preserve">Součinitel tření </t>
    </r>
    <r>
      <rPr>
        <sz val="10"/>
        <rFont val="Calibri"/>
        <family val="2"/>
      </rPr>
      <t>λ</t>
    </r>
    <r>
      <rPr>
        <vertAlign val="subscript"/>
        <sz val="10"/>
        <rFont val="Arial"/>
        <family val="2"/>
      </rPr>
      <t>f</t>
    </r>
  </si>
  <si>
    <t>Dynamický tlak</t>
  </si>
  <si>
    <t>Geometrie tahu</t>
  </si>
  <si>
    <t>Typ</t>
  </si>
  <si>
    <t>ξ</t>
  </si>
  <si>
    <t>počet</t>
  </si>
  <si>
    <t>Tlak. ztráta změnou směru</t>
  </si>
  <si>
    <t>Podmínky</t>
  </si>
  <si>
    <t>Tlaková podmínka</t>
  </si>
  <si>
    <t>Podmínka pro rosný bod</t>
  </si>
  <si>
    <t>Účinnost spalování</t>
  </si>
  <si>
    <t>sem pomocné??? Dořešit</t>
  </si>
  <si>
    <t>některé podmínky nevyhovují</t>
  </si>
  <si>
    <t>všechny podmínky vyhovují</t>
  </si>
  <si>
    <t>Teplota stěny komína v ústí</t>
  </si>
  <si>
    <r>
      <t>Délka tahu L</t>
    </r>
    <r>
      <rPr>
        <vertAlign val="subscript"/>
        <sz val="10"/>
        <rFont val="Arial"/>
        <family val="2"/>
      </rPr>
      <t>Z</t>
    </r>
  </si>
  <si>
    <r>
      <t>Průřez štěrbiny A</t>
    </r>
    <r>
      <rPr>
        <vertAlign val="subscript"/>
        <sz val="10"/>
        <rFont val="Arial"/>
        <family val="2"/>
      </rPr>
      <t>GS</t>
    </r>
  </si>
  <si>
    <r>
      <t>Dávka paliva m</t>
    </r>
    <r>
      <rPr>
        <vertAlign val="subscript"/>
        <sz val="10"/>
        <rFont val="Arial"/>
        <family val="2"/>
      </rPr>
      <t>B</t>
    </r>
  </si>
  <si>
    <r>
      <t>Min. dávka m</t>
    </r>
    <r>
      <rPr>
        <vertAlign val="subscript"/>
        <sz val="10"/>
        <rFont val="Arial"/>
        <family val="2"/>
      </rPr>
      <t>Bmin</t>
    </r>
  </si>
  <si>
    <t>Komínový tah</t>
  </si>
  <si>
    <t>Požadovaný výkon:</t>
  </si>
  <si>
    <r>
      <t>m</t>
    </r>
    <r>
      <rPr>
        <b/>
        <sz val="6"/>
        <rFont val="Arial"/>
        <family val="2"/>
      </rPr>
      <t>.n.m.</t>
    </r>
  </si>
  <si>
    <t>jedna z podmínek nevyhovuje</t>
  </si>
  <si>
    <t>Koleno 10°</t>
  </si>
  <si>
    <t>Koleno 30°</t>
  </si>
  <si>
    <t>Koleno 45°</t>
  </si>
  <si>
    <t>Koleno 60° okrouhlé</t>
  </si>
  <si>
    <t>Koleno 60°</t>
  </si>
  <si>
    <t>Koleno 90°</t>
  </si>
  <si>
    <t>Rozměr A tahu</t>
  </si>
  <si>
    <t>Průřez tahu</t>
  </si>
  <si>
    <t>Geometrie komory</t>
  </si>
  <si>
    <t>Teplota za vložkou</t>
  </si>
  <si>
    <t>Průměr kruh. tahu</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</si>
</sst>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quot;Yes&quot;;&quot;Yes&quot;;&quot;No&quot;"/>
    <numFmt numFmtId="166" formatCode="&quot;True&quot;;&quot;True&quot;;&quot;False&quot;"/>
    <numFmt numFmtId="167" formatCode="&quot;On&quot;;&quot;On&quot;;&quot;Off&quot;"/>
    <numFmt numFmtId="168" formatCode="0.000"/>
  </numFmts>
  <fonts count="59">
    <font>
      <sz val="10"/>
      <name val="Arial"/>
      <family val="0"/>
    </font>
    <font>
      <vertAlign val="superscript"/>
      <sz val="10"/>
      <name val="Arial"/>
      <family val="2"/>
    </font>
    <font>
      <sz val="8"/>
      <name val="Arial"/>
      <family val="2"/>
    </font>
    <font>
      <u val="single"/>
      <sz val="10"/>
      <color indexed="12"/>
      <name val="Arial"/>
      <family val="2"/>
    </font>
    <font>
      <u val="single"/>
      <sz val="10"/>
      <color indexed="36"/>
      <name val="Arial"/>
      <family val="2"/>
    </font>
    <font>
      <vertAlign val="subscript"/>
      <sz val="10"/>
      <name val="Arial"/>
      <family val="2"/>
    </font>
    <font>
      <b/>
      <sz val="10"/>
      <name val="Arial"/>
      <family val="2"/>
    </font>
    <font>
      <sz val="9"/>
      <name val="Tahoma"/>
      <family val="2"/>
    </font>
    <font>
      <b/>
      <sz val="9"/>
      <name val="Tahoma"/>
      <family val="2"/>
    </font>
    <font>
      <sz val="10"/>
      <color indexed="9"/>
      <name val="Arial"/>
      <family val="2"/>
    </font>
    <font>
      <b/>
      <sz val="12"/>
      <name val="Arial"/>
      <family val="2"/>
    </font>
    <font>
      <b/>
      <vertAlign val="superscript"/>
      <sz val="10"/>
      <name val="Arial"/>
      <family val="2"/>
    </font>
    <font>
      <sz val="10"/>
      <name val="Calibri"/>
      <family val="2"/>
    </font>
    <font>
      <sz val="8"/>
      <name val="Tahoma"/>
      <family val="2"/>
    </font>
    <font>
      <b/>
      <sz val="6"/>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6"/>
      <color indexed="9"/>
      <name val="Arial"/>
      <family val="2"/>
    </font>
    <font>
      <sz val="10"/>
      <color indexed="8"/>
      <name val="Arial"/>
      <family val="0"/>
    </font>
    <font>
      <b/>
      <sz val="10"/>
      <color indexed="8"/>
      <name val="Arial"/>
      <family val="0"/>
    </font>
    <font>
      <sz val="8"/>
      <color indexed="8"/>
      <name val="Arial"/>
      <family val="0"/>
    </font>
    <font>
      <sz val="10"/>
      <color indexed="8"/>
      <name val="Calibri"/>
      <family val="0"/>
    </font>
    <font>
      <sz val="8"/>
      <color indexed="8"/>
      <name val="Calibri"/>
      <family val="0"/>
    </font>
    <font>
      <sz val="6"/>
      <color indexed="8"/>
      <name val="Arial"/>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0"/>
      <name val="Arial"/>
      <family val="2"/>
    </font>
    <font>
      <sz val="6"/>
      <color theme="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s>
  <borders count="3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style="thin"/>
    </border>
    <border>
      <left style="medium"/>
      <right>
        <color indexed="63"/>
      </right>
      <top style="medium"/>
      <bottom style="thin"/>
    </border>
    <border>
      <left>
        <color indexed="63"/>
      </left>
      <right style="medium"/>
      <top style="medium"/>
      <bottom style="thin"/>
    </border>
    <border>
      <left style="medium"/>
      <right style="medium"/>
      <top style="thin"/>
      <bottom style="thin"/>
    </border>
    <border>
      <left style="medium"/>
      <right>
        <color indexed="63"/>
      </right>
      <top style="thin"/>
      <bottom style="thin"/>
    </border>
    <border>
      <left>
        <color indexed="63"/>
      </left>
      <right style="medium"/>
      <top style="thin"/>
      <bottom style="thin"/>
    </border>
    <border>
      <left style="medium"/>
      <right style="medium"/>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style="medium"/>
      <top style="thin"/>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42" fillId="20" borderId="0" applyNumberFormat="0" applyBorder="0" applyAlignment="0" applyProtection="0"/>
    <xf numFmtId="0" fontId="4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49" fillId="0" borderId="7" applyNumberFormat="0" applyFill="0" applyAlignment="0" applyProtection="0"/>
    <xf numFmtId="0" fontId="4" fillId="0" borderId="0" applyNumberFormat="0" applyFill="0" applyBorder="0" applyAlignment="0" applyProtection="0"/>
    <xf numFmtId="0" fontId="50" fillId="24" borderId="0" applyNumberFormat="0" applyBorder="0" applyAlignment="0" applyProtection="0"/>
    <xf numFmtId="0" fontId="51" fillId="0" borderId="0" applyNumberFormat="0" applyFill="0" applyBorder="0" applyAlignment="0" applyProtection="0"/>
    <xf numFmtId="0" fontId="52" fillId="25" borderId="8" applyNumberFormat="0" applyAlignment="0" applyProtection="0"/>
    <xf numFmtId="0" fontId="53" fillId="26" borderId="8" applyNumberFormat="0" applyAlignment="0" applyProtection="0"/>
    <xf numFmtId="0" fontId="54" fillId="26" borderId="9" applyNumberFormat="0" applyAlignment="0" applyProtection="0"/>
    <xf numFmtId="0" fontId="55" fillId="0" borderId="0" applyNumberFormat="0" applyFill="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cellStyleXfs>
  <cellXfs count="123">
    <xf numFmtId="0" fontId="0" fillId="0" borderId="0" xfId="0" applyAlignment="1">
      <alignment/>
    </xf>
    <xf numFmtId="0" fontId="0" fillId="0" borderId="0" xfId="0" applyFill="1" applyAlignment="1">
      <alignment/>
    </xf>
    <xf numFmtId="0" fontId="9" fillId="0" borderId="0" xfId="0" applyFont="1" applyFill="1" applyAlignment="1">
      <alignment/>
    </xf>
    <xf numFmtId="0" fontId="0" fillId="0" borderId="0" xfId="0" applyFill="1" applyAlignment="1">
      <alignment/>
    </xf>
    <xf numFmtId="0" fontId="0" fillId="0" borderId="0" xfId="0" applyFont="1" applyFill="1" applyAlignment="1">
      <alignment/>
    </xf>
    <xf numFmtId="0" fontId="6" fillId="33" borderId="10" xfId="0" applyFont="1" applyFill="1" applyBorder="1" applyAlignment="1">
      <alignment horizontal="center" vertical="center"/>
    </xf>
    <xf numFmtId="0" fontId="6" fillId="34" borderId="11" xfId="0" applyFont="1" applyFill="1" applyBorder="1" applyAlignment="1">
      <alignment vertical="center"/>
    </xf>
    <xf numFmtId="0" fontId="9" fillId="33" borderId="12" xfId="0" applyFont="1" applyFill="1" applyBorder="1" applyAlignment="1">
      <alignment vertical="center"/>
    </xf>
    <xf numFmtId="0" fontId="9" fillId="33" borderId="13" xfId="0" applyFont="1" applyFill="1" applyBorder="1" applyAlignment="1">
      <alignment vertical="center"/>
    </xf>
    <xf numFmtId="0" fontId="6" fillId="33" borderId="14" xfId="0" applyFont="1" applyFill="1" applyBorder="1" applyAlignment="1">
      <alignment horizontal="center" vertical="center"/>
    </xf>
    <xf numFmtId="0" fontId="6" fillId="34" borderId="15" xfId="0" applyFont="1" applyFill="1" applyBorder="1" applyAlignment="1">
      <alignment vertical="center"/>
    </xf>
    <xf numFmtId="0" fontId="9" fillId="33" borderId="16" xfId="0" applyFont="1" applyFill="1" applyBorder="1" applyAlignment="1">
      <alignment vertical="center"/>
    </xf>
    <xf numFmtId="0" fontId="9" fillId="33" borderId="0" xfId="0" applyFont="1" applyFill="1" applyBorder="1" applyAlignment="1">
      <alignment vertical="center"/>
    </xf>
    <xf numFmtId="0" fontId="9" fillId="33" borderId="15" xfId="0" applyFont="1" applyFill="1" applyBorder="1" applyAlignment="1">
      <alignment vertical="center"/>
    </xf>
    <xf numFmtId="0" fontId="0" fillId="33" borderId="16" xfId="0" applyFill="1" applyBorder="1" applyAlignment="1">
      <alignment vertical="center"/>
    </xf>
    <xf numFmtId="0" fontId="0" fillId="33" borderId="0" xfId="0" applyFill="1" applyBorder="1" applyAlignment="1">
      <alignment vertical="center"/>
    </xf>
    <xf numFmtId="0" fontId="6" fillId="33" borderId="17" xfId="0" applyFont="1" applyFill="1" applyBorder="1" applyAlignment="1">
      <alignment horizontal="center" vertical="center"/>
    </xf>
    <xf numFmtId="0" fontId="6" fillId="34" borderId="18" xfId="0" applyFont="1" applyFill="1" applyBorder="1" applyAlignment="1">
      <alignment vertical="center"/>
    </xf>
    <xf numFmtId="0" fontId="9" fillId="33" borderId="16" xfId="0" applyFont="1" applyFill="1" applyBorder="1" applyAlignment="1">
      <alignment vertical="center"/>
    </xf>
    <xf numFmtId="0" fontId="9" fillId="33" borderId="0" xfId="0" applyFont="1" applyFill="1" applyBorder="1" applyAlignment="1">
      <alignment vertical="center"/>
    </xf>
    <xf numFmtId="0" fontId="0" fillId="33" borderId="10" xfId="0" applyFill="1" applyBorder="1" applyAlignment="1">
      <alignment horizontal="center" vertical="center"/>
    </xf>
    <xf numFmtId="2" fontId="0" fillId="35" borderId="12" xfId="0" applyNumberFormat="1" applyFill="1" applyBorder="1" applyAlignment="1">
      <alignment vertical="center"/>
    </xf>
    <xf numFmtId="0" fontId="0" fillId="35" borderId="11" xfId="0" applyFill="1" applyBorder="1" applyAlignment="1">
      <alignment vertical="center"/>
    </xf>
    <xf numFmtId="2" fontId="0" fillId="35" borderId="19" xfId="0" applyNumberFormat="1" applyFill="1" applyBorder="1" applyAlignment="1">
      <alignment vertical="center"/>
    </xf>
    <xf numFmtId="0" fontId="0" fillId="35" borderId="18" xfId="0" applyFill="1" applyBorder="1" applyAlignment="1">
      <alignment vertical="center"/>
    </xf>
    <xf numFmtId="1" fontId="0" fillId="35" borderId="12" xfId="0" applyNumberFormat="1" applyFill="1" applyBorder="1" applyAlignment="1">
      <alignment vertical="center"/>
    </xf>
    <xf numFmtId="0" fontId="9" fillId="33" borderId="20" xfId="0" applyFont="1" applyFill="1" applyBorder="1" applyAlignment="1">
      <alignment vertical="center"/>
    </xf>
    <xf numFmtId="0" fontId="9" fillId="33" borderId="18" xfId="0" applyFont="1" applyFill="1" applyBorder="1" applyAlignment="1">
      <alignment vertical="center"/>
    </xf>
    <xf numFmtId="0" fontId="0" fillId="33" borderId="14" xfId="0" applyFill="1" applyBorder="1" applyAlignment="1">
      <alignment horizontal="center" vertical="center"/>
    </xf>
    <xf numFmtId="1" fontId="0" fillId="35" borderId="16" xfId="0" applyNumberFormat="1" applyFill="1" applyBorder="1" applyAlignment="1">
      <alignment vertical="center"/>
    </xf>
    <xf numFmtId="0" fontId="0" fillId="35" borderId="15" xfId="0" applyFill="1" applyBorder="1" applyAlignment="1">
      <alignment vertical="center"/>
    </xf>
    <xf numFmtId="0" fontId="0" fillId="33" borderId="21" xfId="0" applyFill="1" applyBorder="1" applyAlignment="1">
      <alignment horizontal="center" vertical="center"/>
    </xf>
    <xf numFmtId="164" fontId="0" fillId="36" borderId="22" xfId="0" applyNumberFormat="1" applyFill="1" applyBorder="1" applyAlignment="1">
      <alignment vertical="center"/>
    </xf>
    <xf numFmtId="0" fontId="0" fillId="36" borderId="23" xfId="0" applyFill="1" applyBorder="1" applyAlignment="1">
      <alignment vertical="center"/>
    </xf>
    <xf numFmtId="0" fontId="6" fillId="0" borderId="21" xfId="0" applyFont="1" applyBorder="1" applyAlignment="1">
      <alignment horizontal="center" vertical="center"/>
    </xf>
    <xf numFmtId="0" fontId="0" fillId="33" borderId="24" xfId="0" applyFill="1" applyBorder="1" applyAlignment="1">
      <alignment horizontal="center" vertical="center"/>
    </xf>
    <xf numFmtId="164" fontId="0" fillId="36" borderId="25" xfId="0" applyNumberFormat="1" applyFill="1" applyBorder="1" applyAlignment="1">
      <alignment vertical="center"/>
    </xf>
    <xf numFmtId="0" fontId="0" fillId="36" borderId="26" xfId="0" applyFill="1" applyBorder="1" applyAlignment="1">
      <alignment vertical="center"/>
    </xf>
    <xf numFmtId="0" fontId="6" fillId="0" borderId="24" xfId="0" applyFont="1" applyBorder="1" applyAlignment="1">
      <alignment horizontal="center" vertical="center"/>
    </xf>
    <xf numFmtId="0" fontId="0" fillId="33" borderId="27" xfId="0" applyFill="1" applyBorder="1" applyAlignment="1">
      <alignment horizontal="center" vertical="center"/>
    </xf>
    <xf numFmtId="164" fontId="0" fillId="36" borderId="28" xfId="0" applyNumberFormat="1" applyFill="1" applyBorder="1" applyAlignment="1">
      <alignment vertical="center"/>
    </xf>
    <xf numFmtId="0" fontId="0" fillId="36" borderId="29" xfId="0" applyFill="1" applyBorder="1" applyAlignment="1">
      <alignment vertical="center"/>
    </xf>
    <xf numFmtId="0" fontId="6" fillId="0" borderId="27" xfId="0" applyFont="1" applyBorder="1" applyAlignment="1">
      <alignment horizontal="center" vertical="center"/>
    </xf>
    <xf numFmtId="1" fontId="6" fillId="35" borderId="19" xfId="0" applyNumberFormat="1" applyFont="1" applyFill="1" applyBorder="1" applyAlignment="1">
      <alignment vertical="center"/>
    </xf>
    <xf numFmtId="0" fontId="6" fillId="35" borderId="18" xfId="0" applyFont="1" applyFill="1" applyBorder="1" applyAlignment="1">
      <alignment vertical="center"/>
    </xf>
    <xf numFmtId="0" fontId="0" fillId="33" borderId="17" xfId="0" applyFont="1" applyFill="1" applyBorder="1" applyAlignment="1">
      <alignment horizontal="center" vertical="center"/>
    </xf>
    <xf numFmtId="1" fontId="0" fillId="36" borderId="30" xfId="0" applyNumberFormat="1" applyFont="1" applyFill="1" applyBorder="1" applyAlignment="1">
      <alignment horizontal="right" vertical="center"/>
    </xf>
    <xf numFmtId="0" fontId="0" fillId="36" borderId="31" xfId="0" applyFont="1" applyFill="1" applyBorder="1" applyAlignment="1">
      <alignment vertical="center"/>
    </xf>
    <xf numFmtId="0" fontId="6" fillId="0" borderId="32" xfId="0" applyFont="1" applyBorder="1" applyAlignment="1">
      <alignment horizontal="center" vertical="center"/>
    </xf>
    <xf numFmtId="0" fontId="0" fillId="33" borderId="15" xfId="0" applyFill="1" applyBorder="1" applyAlignment="1">
      <alignment vertical="center"/>
    </xf>
    <xf numFmtId="0" fontId="0" fillId="33" borderId="10" xfId="0" applyFont="1" applyFill="1" applyBorder="1" applyAlignment="1">
      <alignment horizontal="center" vertical="center"/>
    </xf>
    <xf numFmtId="0" fontId="0" fillId="37" borderId="33" xfId="0" applyFont="1" applyFill="1" applyBorder="1" applyAlignment="1">
      <alignment horizontal="center" vertical="center"/>
    </xf>
    <xf numFmtId="0" fontId="12" fillId="37" borderId="13" xfId="0" applyFont="1" applyFill="1" applyBorder="1" applyAlignment="1">
      <alignment horizontal="center" vertical="center"/>
    </xf>
    <xf numFmtId="0" fontId="0" fillId="37" borderId="10" xfId="0" applyFont="1" applyFill="1" applyBorder="1" applyAlignment="1">
      <alignment horizontal="center" vertical="center"/>
    </xf>
    <xf numFmtId="0" fontId="0" fillId="33" borderId="12" xfId="0" applyFill="1" applyBorder="1" applyAlignment="1">
      <alignment horizontal="center" vertical="center"/>
    </xf>
    <xf numFmtId="0" fontId="0" fillId="33" borderId="16" xfId="0" applyFill="1" applyBorder="1" applyAlignment="1">
      <alignment horizontal="center" vertical="center"/>
    </xf>
    <xf numFmtId="1" fontId="6" fillId="35" borderId="16" xfId="0" applyNumberFormat="1" applyFont="1" applyFill="1" applyBorder="1" applyAlignment="1">
      <alignment vertical="center"/>
    </xf>
    <xf numFmtId="0" fontId="6" fillId="35" borderId="15" xfId="0" applyFont="1" applyFill="1" applyBorder="1" applyAlignment="1">
      <alignment vertical="center"/>
    </xf>
    <xf numFmtId="0" fontId="0" fillId="33" borderId="14" xfId="0" applyFont="1" applyFill="1" applyBorder="1" applyAlignment="1">
      <alignment horizontal="center" vertical="center"/>
    </xf>
    <xf numFmtId="168" fontId="0" fillId="35" borderId="19" xfId="0" applyNumberFormat="1" applyFont="1" applyFill="1" applyBorder="1" applyAlignment="1">
      <alignment vertical="center"/>
    </xf>
    <xf numFmtId="0" fontId="0" fillId="35" borderId="18" xfId="0" applyFont="1" applyFill="1" applyBorder="1" applyAlignment="1">
      <alignment vertical="center"/>
    </xf>
    <xf numFmtId="0" fontId="0" fillId="33" borderId="19" xfId="0" applyFill="1" applyBorder="1" applyAlignment="1">
      <alignment horizontal="center" vertical="center"/>
    </xf>
    <xf numFmtId="0" fontId="0" fillId="35" borderId="11" xfId="0" applyFont="1" applyFill="1" applyBorder="1" applyAlignment="1">
      <alignment vertical="center"/>
    </xf>
    <xf numFmtId="2" fontId="0" fillId="35" borderId="16" xfId="0" applyNumberFormat="1" applyFill="1" applyBorder="1" applyAlignment="1">
      <alignment vertical="center"/>
    </xf>
    <xf numFmtId="0" fontId="0" fillId="35" borderId="15" xfId="0" applyFont="1" applyFill="1" applyBorder="1" applyAlignment="1">
      <alignment vertical="center"/>
    </xf>
    <xf numFmtId="168" fontId="0" fillId="35" borderId="16" xfId="0" applyNumberFormat="1" applyFill="1" applyBorder="1" applyAlignment="1">
      <alignment vertical="center"/>
    </xf>
    <xf numFmtId="0" fontId="9" fillId="33" borderId="14" xfId="0" applyFont="1" applyFill="1" applyBorder="1" applyAlignment="1">
      <alignment vertical="center" textRotation="180"/>
    </xf>
    <xf numFmtId="164" fontId="0" fillId="35" borderId="16" xfId="0" applyNumberFormat="1" applyFill="1" applyBorder="1" applyAlignment="1">
      <alignment vertical="center"/>
    </xf>
    <xf numFmtId="0" fontId="0" fillId="33" borderId="14"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31" xfId="0" applyFont="1" applyFill="1" applyBorder="1" applyAlignment="1">
      <alignment horizontal="center" vertical="center"/>
    </xf>
    <xf numFmtId="0" fontId="9" fillId="33" borderId="15" xfId="0" applyFont="1" applyFill="1" applyBorder="1" applyAlignment="1">
      <alignment vertical="center" textRotation="180"/>
    </xf>
    <xf numFmtId="0" fontId="9" fillId="33" borderId="16" xfId="0" applyFont="1" applyFill="1" applyBorder="1" applyAlignment="1">
      <alignment horizontal="left" vertical="center"/>
    </xf>
    <xf numFmtId="168" fontId="0" fillId="35" borderId="16" xfId="0" applyNumberFormat="1" applyFont="1" applyFill="1" applyBorder="1" applyAlignment="1">
      <alignment vertical="center"/>
    </xf>
    <xf numFmtId="2" fontId="0" fillId="35" borderId="16" xfId="0" applyNumberFormat="1" applyFont="1" applyFill="1" applyBorder="1" applyAlignment="1">
      <alignment vertical="center"/>
    </xf>
    <xf numFmtId="2" fontId="0" fillId="35" borderId="12" xfId="0" applyNumberFormat="1" applyFont="1" applyFill="1" applyBorder="1" applyAlignment="1">
      <alignment vertical="center"/>
    </xf>
    <xf numFmtId="0" fontId="0" fillId="33" borderId="16" xfId="0" applyFont="1" applyFill="1" applyBorder="1" applyAlignment="1">
      <alignment horizontal="center" vertical="center"/>
    </xf>
    <xf numFmtId="0" fontId="0" fillId="33" borderId="19" xfId="0" applyFont="1" applyFill="1" applyBorder="1" applyAlignment="1">
      <alignment horizontal="center" vertical="center"/>
    </xf>
    <xf numFmtId="0" fontId="56" fillId="33" borderId="11" xfId="0" applyFont="1" applyFill="1" applyBorder="1" applyAlignment="1">
      <alignment vertical="center"/>
    </xf>
    <xf numFmtId="0" fontId="56" fillId="33" borderId="15" xfId="0" applyFont="1" applyFill="1" applyBorder="1" applyAlignment="1">
      <alignment vertical="center"/>
    </xf>
    <xf numFmtId="0" fontId="6" fillId="34" borderId="12" xfId="0" applyFont="1" applyFill="1" applyBorder="1" applyAlignment="1" applyProtection="1">
      <alignment vertical="center"/>
      <protection locked="0"/>
    </xf>
    <xf numFmtId="0" fontId="6" fillId="34" borderId="16" xfId="0" applyFont="1" applyFill="1" applyBorder="1" applyAlignment="1" applyProtection="1">
      <alignment vertical="center"/>
      <protection locked="0"/>
    </xf>
    <xf numFmtId="0" fontId="6" fillId="34" borderId="19" xfId="0" applyFont="1" applyFill="1" applyBorder="1" applyAlignment="1" applyProtection="1">
      <alignment vertical="center"/>
      <protection locked="0"/>
    </xf>
    <xf numFmtId="1" fontId="6" fillId="34" borderId="12" xfId="0" applyNumberFormat="1" applyFont="1" applyFill="1" applyBorder="1" applyAlignment="1" applyProtection="1">
      <alignment vertical="center"/>
      <protection locked="0"/>
    </xf>
    <xf numFmtId="1" fontId="6" fillId="34" borderId="16" xfId="0" applyNumberFormat="1"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0" fontId="6" fillId="34" borderId="14" xfId="0" applyFont="1" applyFill="1" applyBorder="1" applyAlignment="1" applyProtection="1">
      <alignment horizontal="center" vertical="center"/>
      <protection locked="0"/>
    </xf>
    <xf numFmtId="0" fontId="6" fillId="34" borderId="17" xfId="0" applyFont="1" applyFill="1" applyBorder="1" applyAlignment="1" applyProtection="1">
      <alignment horizontal="center" vertical="center"/>
      <protection locked="0"/>
    </xf>
    <xf numFmtId="0" fontId="0" fillId="33" borderId="14" xfId="0" applyFont="1" applyFill="1" applyBorder="1" applyAlignment="1" applyProtection="1">
      <alignment horizontal="center" vertical="center"/>
      <protection locked="0"/>
    </xf>
    <xf numFmtId="168" fontId="0" fillId="35" borderId="16" xfId="0" applyNumberFormat="1" applyFill="1" applyBorder="1" applyAlignment="1" applyProtection="1">
      <alignment vertical="center"/>
      <protection locked="0"/>
    </xf>
    <xf numFmtId="0" fontId="0" fillId="35" borderId="15" xfId="0" applyFont="1" applyFill="1" applyBorder="1" applyAlignment="1" applyProtection="1">
      <alignment vertical="center"/>
      <protection locked="0"/>
    </xf>
    <xf numFmtId="0" fontId="0" fillId="33" borderId="14" xfId="0" applyFont="1" applyFill="1" applyBorder="1" applyAlignment="1" applyProtection="1">
      <alignment horizontal="center" vertical="center"/>
      <protection locked="0"/>
    </xf>
    <xf numFmtId="0" fontId="56" fillId="33" borderId="16" xfId="0" applyFont="1" applyFill="1" applyBorder="1" applyAlignment="1">
      <alignment horizontal="left" vertical="center"/>
    </xf>
    <xf numFmtId="0" fontId="56" fillId="33" borderId="19" xfId="0" applyFont="1" applyFill="1" applyBorder="1" applyAlignment="1">
      <alignment horizontal="left" vertical="center"/>
    </xf>
    <xf numFmtId="0" fontId="57" fillId="33" borderId="15" xfId="0" applyFont="1" applyFill="1" applyBorder="1" applyAlignment="1">
      <alignment horizontal="center" vertical="center"/>
    </xf>
    <xf numFmtId="1" fontId="0" fillId="36" borderId="25" xfId="0" applyNumberFormat="1" applyFill="1" applyBorder="1" applyAlignment="1">
      <alignment horizontal="center" vertical="center"/>
    </xf>
    <xf numFmtId="1" fontId="0" fillId="36" borderId="26" xfId="0" applyNumberFormat="1" applyFill="1" applyBorder="1" applyAlignment="1">
      <alignment horizontal="center" vertical="center"/>
    </xf>
    <xf numFmtId="1" fontId="0" fillId="36" borderId="30" xfId="0" applyNumberFormat="1" applyFill="1" applyBorder="1" applyAlignment="1">
      <alignment horizontal="center" vertical="center"/>
    </xf>
    <xf numFmtId="1" fontId="0" fillId="36" borderId="31" xfId="0" applyNumberFormat="1" applyFill="1" applyBorder="1" applyAlignment="1">
      <alignment horizontal="center" vertical="center"/>
    </xf>
    <xf numFmtId="0" fontId="6" fillId="37" borderId="34" xfId="0" applyFont="1" applyFill="1" applyBorder="1" applyAlignment="1">
      <alignment horizontal="center" vertical="center"/>
    </xf>
    <xf numFmtId="0" fontId="6" fillId="37" borderId="35" xfId="0" applyFont="1" applyFill="1" applyBorder="1" applyAlignment="1">
      <alignment horizontal="center" vertical="center"/>
    </xf>
    <xf numFmtId="0" fontId="6" fillId="37" borderId="36" xfId="0" applyFont="1" applyFill="1" applyBorder="1" applyAlignment="1">
      <alignment horizontal="center" vertical="center"/>
    </xf>
    <xf numFmtId="0" fontId="6" fillId="33" borderId="14" xfId="0" applyFont="1" applyFill="1" applyBorder="1" applyAlignment="1">
      <alignment horizontal="center" vertical="center" wrapText="1"/>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0" fillId="36" borderId="22" xfId="0" applyNumberFormat="1" applyFill="1" applyBorder="1" applyAlignment="1">
      <alignment horizontal="center" vertical="center"/>
    </xf>
    <xf numFmtId="0" fontId="0" fillId="36" borderId="23" xfId="0" applyNumberFormat="1" applyFill="1" applyBorder="1" applyAlignment="1">
      <alignment horizontal="center" vertical="center"/>
    </xf>
    <xf numFmtId="1" fontId="6" fillId="34" borderId="16" xfId="0" applyNumberFormat="1" applyFont="1" applyFill="1" applyBorder="1" applyAlignment="1" applyProtection="1">
      <alignment horizontal="right" vertical="center"/>
      <protection locked="0"/>
    </xf>
    <xf numFmtId="0" fontId="6" fillId="34" borderId="15" xfId="0" applyFont="1" applyFill="1" applyBorder="1" applyAlignment="1">
      <alignment horizontal="left" vertical="center"/>
    </xf>
    <xf numFmtId="0" fontId="10" fillId="37" borderId="34" xfId="0" applyFont="1" applyFill="1" applyBorder="1" applyAlignment="1">
      <alignment horizontal="center" vertical="center"/>
    </xf>
    <xf numFmtId="0" fontId="10" fillId="37" borderId="35" xfId="0" applyFont="1" applyFill="1" applyBorder="1" applyAlignment="1">
      <alignment horizontal="center" vertical="center"/>
    </xf>
    <xf numFmtId="0" fontId="10" fillId="37" borderId="13" xfId="0" applyFont="1" applyFill="1" applyBorder="1" applyAlignment="1">
      <alignment horizontal="center" vertical="center"/>
    </xf>
    <xf numFmtId="0" fontId="10" fillId="37" borderId="11" xfId="0" applyFont="1" applyFill="1" applyBorder="1" applyAlignment="1">
      <alignment horizontal="center" vertical="center"/>
    </xf>
    <xf numFmtId="0" fontId="6" fillId="37" borderId="20" xfId="0" applyFont="1" applyFill="1" applyBorder="1" applyAlignment="1">
      <alignment horizontal="center" vertical="center"/>
    </xf>
    <xf numFmtId="0" fontId="6" fillId="37" borderId="18" xfId="0" applyFont="1" applyFill="1" applyBorder="1" applyAlignment="1">
      <alignment horizontal="center" vertical="center"/>
    </xf>
    <xf numFmtId="0" fontId="6" fillId="37" borderId="19" xfId="0" applyFont="1" applyFill="1" applyBorder="1" applyAlignment="1">
      <alignment horizontal="center" vertical="center"/>
    </xf>
    <xf numFmtId="49" fontId="0" fillId="35" borderId="16" xfId="0" applyNumberFormat="1" applyFill="1" applyBorder="1" applyAlignment="1" applyProtection="1">
      <alignment horizontal="center" vertical="center"/>
      <protection locked="0"/>
    </xf>
    <xf numFmtId="49" fontId="0" fillId="0" borderId="15" xfId="0" applyNumberFormat="1" applyBorder="1" applyAlignment="1" applyProtection="1">
      <alignment vertical="center"/>
      <protection locked="0"/>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14">
    <dxf>
      <font>
        <color theme="8" tint="0.5999600291252136"/>
      </font>
    </dxf>
    <dxf>
      <font>
        <color rgb="FF006100"/>
      </font>
      <fill>
        <patternFill>
          <bgColor rgb="FFC6EFCE"/>
        </patternFill>
      </fill>
    </dxf>
    <dxf>
      <font>
        <color rgb="FF9C0006"/>
      </font>
      <fill>
        <patternFill>
          <bgColor rgb="FFFFC7CE"/>
        </patternFill>
      </fill>
    </dxf>
    <dxf>
      <font>
        <color theme="5" tint="-0.24993999302387238"/>
      </font>
      <fill>
        <patternFill>
          <bgColor theme="5" tint="0.5999600291252136"/>
        </patternFill>
      </fill>
    </dxf>
    <dxf>
      <fill>
        <patternFill>
          <bgColor indexed="50"/>
        </patternFill>
      </fill>
    </dxf>
    <dxf>
      <fill>
        <patternFill>
          <bgColor indexed="50"/>
        </patternFill>
      </fill>
    </dxf>
    <dxf>
      <fill>
        <patternFill>
          <bgColor indexed="29"/>
        </patternFill>
      </fill>
    </dxf>
    <dxf>
      <fill>
        <patternFill>
          <bgColor indexed="29"/>
        </patternFill>
      </fill>
    </dxf>
    <dxf>
      <fill>
        <patternFill>
          <bgColor indexed="29"/>
        </patternFill>
      </fill>
    </dxf>
    <dxf>
      <fill>
        <patternFill>
          <bgColor indexed="50"/>
        </patternFill>
      </fill>
    </dxf>
    <dxf>
      <fill>
        <patternFill>
          <bgColor indexed="29"/>
        </patternFill>
      </fill>
    </dxf>
    <dxf>
      <fill>
        <patternFill>
          <bgColor indexed="50"/>
        </patternFill>
      </fill>
    </dxf>
    <dxf>
      <fill>
        <patternFill>
          <bgColor indexed="29"/>
        </patternFill>
      </fill>
    </dxf>
    <dxf>
      <fill>
        <patternFill>
          <bgColor indexed="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571500</xdr:colOff>
      <xdr:row>1</xdr:row>
      <xdr:rowOff>85725</xdr:rowOff>
    </xdr:from>
    <xdr:to>
      <xdr:col>6</xdr:col>
      <xdr:colOff>685800</xdr:colOff>
      <xdr:row>9</xdr:row>
      <xdr:rowOff>209550</xdr:rowOff>
    </xdr:to>
    <xdr:pic>
      <xdr:nvPicPr>
        <xdr:cNvPr id="1" name="Obrázek 1"/>
        <xdr:cNvPicPr preferRelativeResize="1">
          <a:picLocks noChangeAspect="1"/>
        </xdr:cNvPicPr>
      </xdr:nvPicPr>
      <xdr:blipFill>
        <a:blip r:embed="rId1"/>
        <a:srcRect l="70018" t="-245" r="-657" b="72985"/>
        <a:stretch>
          <a:fillRect/>
        </a:stretch>
      </xdr:blipFill>
      <xdr:spPr>
        <a:xfrm>
          <a:off x="2905125" y="438150"/>
          <a:ext cx="2800350" cy="2028825"/>
        </a:xfrm>
        <a:prstGeom prst="rect">
          <a:avLst/>
        </a:prstGeom>
        <a:noFill/>
        <a:ln w="9525" cmpd="sng">
          <a:noFill/>
        </a:ln>
      </xdr:spPr>
    </xdr:pic>
    <xdr:clientData/>
  </xdr:twoCellAnchor>
  <xdr:twoCellAnchor>
    <xdr:from>
      <xdr:col>6</xdr:col>
      <xdr:colOff>57150</xdr:colOff>
      <xdr:row>24</xdr:row>
      <xdr:rowOff>114300</xdr:rowOff>
    </xdr:from>
    <xdr:to>
      <xdr:col>6</xdr:col>
      <xdr:colOff>628650</xdr:colOff>
      <xdr:row>32</xdr:row>
      <xdr:rowOff>161925</xdr:rowOff>
    </xdr:to>
    <xdr:sp>
      <xdr:nvSpPr>
        <xdr:cNvPr id="2" name="Rectangle 5"/>
        <xdr:cNvSpPr>
          <a:spLocks/>
        </xdr:cNvSpPr>
      </xdr:nvSpPr>
      <xdr:spPr>
        <a:xfrm>
          <a:off x="5076825" y="5943600"/>
          <a:ext cx="571500" cy="1952625"/>
        </a:xfrm>
        <a:prstGeom prst="rect">
          <a:avLst/>
        </a:prstGeom>
        <a:noFill/>
        <a:ln w="9525" cmpd="sng">
          <a:noFill/>
        </a:ln>
      </xdr:spPr>
      <xdr:txBody>
        <a:bodyPr vertOverflow="clip" wrap="square" lIns="27432" tIns="22860" rIns="0" bIns="22860" anchor="b" vert="vert270"/>
        <a:p>
          <a:pPr algn="l">
            <a:defRPr/>
          </a:pPr>
          <a:r>
            <a:rPr lang="en-US" cap="none" sz="1000" b="0" i="0" u="none" baseline="0">
              <a:solidFill>
                <a:srgbClr val="000000"/>
              </a:solidFill>
              <a:latin typeface="Arial"/>
              <a:ea typeface="Arial"/>
              <a:cs typeface="Arial"/>
            </a:rPr>
            <a:t>Výpočet vypracoval:
</a:t>
          </a:r>
          <a:r>
            <a:rPr lang="en-US" cap="none" sz="1000" b="0" i="0" u="none" baseline="0">
              <a:solidFill>
                <a:srgbClr val="000000"/>
              </a:solidFill>
              <a:latin typeface="Arial"/>
              <a:ea typeface="Arial"/>
              <a:cs typeface="Arial"/>
            </a:rPr>
            <a:t>Jan Novák
</a:t>
          </a:r>
          <a:r>
            <a:rPr lang="en-US" cap="none" sz="1000" b="0" i="0" u="none" baseline="0">
              <a:solidFill>
                <a:srgbClr val="000000"/>
              </a:solidFill>
              <a:latin typeface="Arial"/>
              <a:ea typeface="Arial"/>
              <a:cs typeface="Arial"/>
            </a:rPr>
            <a:t>Kamnářství Novák a syn</a:t>
          </a:r>
        </a:p>
      </xdr:txBody>
    </xdr:sp>
    <xdr:clientData fLocksWithSheet="0"/>
  </xdr:twoCellAnchor>
  <xdr:twoCellAnchor>
    <xdr:from>
      <xdr:col>6</xdr:col>
      <xdr:colOff>47625</xdr:colOff>
      <xdr:row>16</xdr:row>
      <xdr:rowOff>38100</xdr:rowOff>
    </xdr:from>
    <xdr:to>
      <xdr:col>6</xdr:col>
      <xdr:colOff>638175</xdr:colOff>
      <xdr:row>24</xdr:row>
      <xdr:rowOff>85725</xdr:rowOff>
    </xdr:to>
    <xdr:sp>
      <xdr:nvSpPr>
        <xdr:cNvPr id="3" name="Rectangle 5"/>
        <xdr:cNvSpPr>
          <a:spLocks/>
        </xdr:cNvSpPr>
      </xdr:nvSpPr>
      <xdr:spPr>
        <a:xfrm>
          <a:off x="5067300" y="3962400"/>
          <a:ext cx="590550" cy="1952625"/>
        </a:xfrm>
        <a:prstGeom prst="rect">
          <a:avLst/>
        </a:prstGeom>
        <a:noFill/>
        <a:ln w="9525" cmpd="sng">
          <a:noFill/>
        </a:ln>
      </xdr:spPr>
      <xdr:txBody>
        <a:bodyPr vertOverflow="clip" wrap="square" lIns="27432" tIns="22860" rIns="0" bIns="22860" anchor="b" vert="vert270"/>
        <a:p>
          <a:pPr algn="l">
            <a:defRPr/>
          </a:pPr>
          <a:r>
            <a:rPr lang="en-US" cap="none" sz="1000" b="0" i="0" u="none" baseline="0">
              <a:solidFill>
                <a:srgbClr val="000000"/>
              </a:solidFill>
              <a:latin typeface="Arial"/>
              <a:ea typeface="Arial"/>
              <a:cs typeface="Arial"/>
            </a:rPr>
            <a:t>Akce: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RD Novákovi
</a:t>
          </a:r>
          <a:r>
            <a:rPr lang="en-US" cap="none" sz="1000" b="0" i="0" u="none" baseline="0">
              <a:solidFill>
                <a:srgbClr val="000000"/>
              </a:solidFill>
              <a:latin typeface="Arial"/>
              <a:ea typeface="Arial"/>
              <a:cs typeface="Arial"/>
            </a:rPr>
            <a:t>Kachlová kamna s lavicí
</a:t>
          </a:r>
        </a:p>
      </xdr:txBody>
    </xdr:sp>
    <xdr:clientData fLocksWithSheet="0"/>
  </xdr:twoCellAnchor>
  <xdr:twoCellAnchor>
    <xdr:from>
      <xdr:col>6</xdr:col>
      <xdr:colOff>561975</xdr:colOff>
      <xdr:row>15</xdr:row>
      <xdr:rowOff>228600</xdr:rowOff>
    </xdr:from>
    <xdr:to>
      <xdr:col>7</xdr:col>
      <xdr:colOff>85725</xdr:colOff>
      <xdr:row>32</xdr:row>
      <xdr:rowOff>219075</xdr:rowOff>
    </xdr:to>
    <xdr:sp>
      <xdr:nvSpPr>
        <xdr:cNvPr id="4" name="Rectangle 5"/>
        <xdr:cNvSpPr>
          <a:spLocks/>
        </xdr:cNvSpPr>
      </xdr:nvSpPr>
      <xdr:spPr>
        <a:xfrm rot="16200000">
          <a:off x="5581650" y="3914775"/>
          <a:ext cx="304800" cy="4038600"/>
        </a:xfrm>
        <a:prstGeom prst="rect">
          <a:avLst/>
        </a:prstGeom>
        <a:noFill/>
        <a:ln w="9525" cmpd="sng">
          <a:noFill/>
        </a:ln>
      </xdr:spPr>
      <xdr:txBody>
        <a:bodyPr vertOverflow="clip" wrap="square" lIns="27432" tIns="22860" rIns="0" bIns="22860" anchor="ctr" vert="vert270"/>
        <a:p>
          <a:pPr algn="l">
            <a:defRPr/>
          </a:pPr>
          <a:r>
            <a:rPr lang="en-US" cap="none" sz="800" b="0" i="0" u="none" baseline="0">
              <a:solidFill>
                <a:srgbClr val="000000"/>
              </a:solidFill>
              <a:latin typeface="Arial"/>
              <a:ea typeface="Arial"/>
              <a:cs typeface="Arial"/>
            </a:rPr>
            <a:t>Výpočet proveden dle normy ČSN EN 15544, </a:t>
          </a:r>
          <a:r>
            <a:rPr lang="en-US" cap="none" sz="1000" b="0" i="0" u="none" baseline="0">
              <a:solidFill>
                <a:srgbClr val="000000"/>
              </a:solidFill>
            </a:rPr>
            <a:t>EN 15544</a:t>
          </a:r>
          <a:r>
            <a:rPr lang="en-US" cap="none" sz="800" b="0" i="0" u="none" baseline="0">
              <a:solidFill>
                <a:srgbClr val="000000"/>
              </a:solidFill>
            </a:rPr>
            <a:t>, </a:t>
          </a:r>
          <a:r>
            <a:rPr lang="en-US" cap="none" sz="800" b="0" i="0" u="none" baseline="0">
              <a:solidFill>
                <a:srgbClr val="000000"/>
              </a:solidFill>
              <a:latin typeface="Arial"/>
              <a:ea typeface="Arial"/>
              <a:cs typeface="Arial"/>
            </a:rPr>
            <a:t>ČSN EN 13384-1</a:t>
          </a:r>
        </a:p>
      </xdr:txBody>
    </xdr:sp>
    <xdr:clientData/>
  </xdr:twoCellAnchor>
  <xdr:twoCellAnchor>
    <xdr:from>
      <xdr:col>6</xdr:col>
      <xdr:colOff>628650</xdr:colOff>
      <xdr:row>2</xdr:row>
      <xdr:rowOff>28575</xdr:rowOff>
    </xdr:from>
    <xdr:to>
      <xdr:col>7</xdr:col>
      <xdr:colOff>9525</xdr:colOff>
      <xdr:row>9</xdr:row>
      <xdr:rowOff>228600</xdr:rowOff>
    </xdr:to>
    <xdr:sp>
      <xdr:nvSpPr>
        <xdr:cNvPr id="5" name="Rectangle 5"/>
        <xdr:cNvSpPr>
          <a:spLocks/>
        </xdr:cNvSpPr>
      </xdr:nvSpPr>
      <xdr:spPr>
        <a:xfrm rot="16200000">
          <a:off x="5648325" y="619125"/>
          <a:ext cx="161925" cy="1866900"/>
        </a:xfrm>
        <a:prstGeom prst="rect">
          <a:avLst/>
        </a:prstGeom>
        <a:noFill/>
        <a:ln w="9525" cmpd="sng">
          <a:noFill/>
        </a:ln>
      </xdr:spPr>
      <xdr:txBody>
        <a:bodyPr vertOverflow="clip" wrap="square" lIns="27432" tIns="22860" rIns="0" bIns="22860" anchor="ctr" vert="vert270"/>
        <a:p>
          <a:pPr algn="l">
            <a:defRPr/>
          </a:pPr>
          <a:r>
            <a:rPr lang="en-US" cap="none" sz="600" b="0" i="0" u="none" baseline="0">
              <a:solidFill>
                <a:srgbClr val="000000"/>
              </a:solidFill>
              <a:latin typeface="Arial"/>
              <a:ea typeface="Arial"/>
              <a:cs typeface="Arial"/>
            </a:rPr>
            <a:t>Vytvořil: Ing. Lubomír Martiník, Ing. Jiří Horák,Ph.D.
</a:t>
          </a:r>
        </a:p>
      </xdr:txBody>
    </xdr:sp>
    <xdr:clientData/>
  </xdr:twoCellAnchor>
  <xdr:twoCellAnchor editAs="oneCell">
    <xdr:from>
      <xdr:col>3</xdr:col>
      <xdr:colOff>114300</xdr:colOff>
      <xdr:row>1</xdr:row>
      <xdr:rowOff>95250</xdr:rowOff>
    </xdr:from>
    <xdr:to>
      <xdr:col>3</xdr:col>
      <xdr:colOff>1524000</xdr:colOff>
      <xdr:row>5</xdr:row>
      <xdr:rowOff>38100</xdr:rowOff>
    </xdr:to>
    <xdr:pic>
      <xdr:nvPicPr>
        <xdr:cNvPr id="6" name="Obrázek 3"/>
        <xdr:cNvPicPr preferRelativeResize="1">
          <a:picLocks noChangeAspect="1"/>
        </xdr:cNvPicPr>
      </xdr:nvPicPr>
      <xdr:blipFill>
        <a:blip r:embed="rId2"/>
        <a:stretch>
          <a:fillRect/>
        </a:stretch>
      </xdr:blipFill>
      <xdr:spPr>
        <a:xfrm>
          <a:off x="2447925" y="447675"/>
          <a:ext cx="1409700"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9"/>
  <sheetViews>
    <sheetView tabSelected="1" zoomScale="115" zoomScaleNormal="115" zoomScalePageLayoutView="0" workbookViewId="0" topLeftCell="A1">
      <selection activeCell="B2" sqref="B2"/>
    </sheetView>
  </sheetViews>
  <sheetFormatPr defaultColWidth="9.140625" defaultRowHeight="12.75"/>
  <cols>
    <col min="1" max="1" width="20.28125" style="0" customWidth="1"/>
    <col min="2" max="2" width="8.28125" style="0" customWidth="1"/>
    <col min="3" max="3" width="6.421875" style="0" customWidth="1"/>
    <col min="4" max="4" width="24.57421875" style="0" customWidth="1"/>
    <col min="5" max="5" width="10.28125" style="0" customWidth="1"/>
    <col min="6" max="6" width="5.421875" style="0" customWidth="1"/>
    <col min="7" max="7" width="11.7109375" style="0" customWidth="1"/>
    <col min="8" max="8" width="17.00390625" style="0" customWidth="1"/>
  </cols>
  <sheetData>
    <row r="1" spans="1:15" ht="27.75" customHeight="1" thickBot="1">
      <c r="A1" s="114" t="s">
        <v>16</v>
      </c>
      <c r="B1" s="115"/>
      <c r="C1" s="115"/>
      <c r="D1" s="116"/>
      <c r="E1" s="116"/>
      <c r="F1" s="116"/>
      <c r="G1" s="117"/>
      <c r="H1" s="1"/>
      <c r="I1" s="1"/>
      <c r="J1" s="1"/>
      <c r="K1" s="1"/>
      <c r="L1" s="1"/>
      <c r="M1" s="1"/>
      <c r="N1" s="1"/>
      <c r="O1" s="1"/>
    </row>
    <row r="2" spans="1:15" ht="18.75" customHeight="1">
      <c r="A2" s="5" t="s">
        <v>79</v>
      </c>
      <c r="B2" s="83">
        <v>4</v>
      </c>
      <c r="C2" s="6" t="s">
        <v>1</v>
      </c>
      <c r="D2" s="7" t="s">
        <v>14</v>
      </c>
      <c r="E2" s="8" t="s">
        <v>14</v>
      </c>
      <c r="F2" s="8">
        <f aca="true" t="shared" si="0" ref="F2:F7">IF(G11=$E$2,1,0)</f>
        <v>1</v>
      </c>
      <c r="G2" s="81">
        <f>IF(G35=$E$2,1,0)</f>
        <v>1</v>
      </c>
      <c r="H2" s="1"/>
      <c r="I2" s="1"/>
      <c r="J2" s="1"/>
      <c r="K2" s="1"/>
      <c r="L2" s="1"/>
      <c r="M2" s="1"/>
      <c r="N2" s="1"/>
      <c r="O2" s="1"/>
    </row>
    <row r="3" spans="1:15" ht="18.75" customHeight="1">
      <c r="A3" s="9" t="s">
        <v>0</v>
      </c>
      <c r="B3" s="84">
        <v>12</v>
      </c>
      <c r="C3" s="10" t="s">
        <v>2</v>
      </c>
      <c r="D3" s="11" t="s">
        <v>15</v>
      </c>
      <c r="E3" s="12">
        <v>9</v>
      </c>
      <c r="F3" s="12">
        <f t="shared" si="0"/>
        <v>1</v>
      </c>
      <c r="G3" s="82">
        <f>IF(G36=$E$2,1,0)</f>
        <v>1</v>
      </c>
      <c r="H3" s="1"/>
      <c r="I3" s="1"/>
      <c r="J3" s="1"/>
      <c r="K3" s="1"/>
      <c r="L3" s="1"/>
      <c r="M3" s="1"/>
      <c r="N3" s="1"/>
      <c r="O3" s="1"/>
    </row>
    <row r="4" spans="1:15" ht="18.75" customHeight="1">
      <c r="A4" s="9" t="s">
        <v>33</v>
      </c>
      <c r="B4" s="84">
        <v>20</v>
      </c>
      <c r="C4" s="10" t="s">
        <v>34</v>
      </c>
      <c r="D4" s="14"/>
      <c r="E4" s="15"/>
      <c r="F4" s="12">
        <f t="shared" si="0"/>
        <v>1</v>
      </c>
      <c r="G4" s="82">
        <f>IF(G37=$E$2,1,0)</f>
        <v>1</v>
      </c>
      <c r="H4" s="1"/>
      <c r="I4" s="1"/>
      <c r="J4" s="1"/>
      <c r="K4" s="1"/>
      <c r="L4" s="1"/>
      <c r="M4" s="1"/>
      <c r="N4" s="1"/>
      <c r="O4" s="1"/>
    </row>
    <row r="5" spans="1:15" ht="18.75" customHeight="1" thickBot="1">
      <c r="A5" s="16" t="s">
        <v>35</v>
      </c>
      <c r="B5" s="85">
        <v>600</v>
      </c>
      <c r="C5" s="17" t="s">
        <v>80</v>
      </c>
      <c r="D5" s="14"/>
      <c r="E5" s="15"/>
      <c r="F5" s="12">
        <f t="shared" si="0"/>
        <v>1</v>
      </c>
      <c r="G5" s="13"/>
      <c r="H5" s="1"/>
      <c r="I5" s="1"/>
      <c r="J5" s="1"/>
      <c r="K5" s="1"/>
      <c r="L5" s="1"/>
      <c r="M5" s="1"/>
      <c r="N5" s="1"/>
      <c r="O5" s="1"/>
    </row>
    <row r="6" spans="1:15" ht="18.75" customHeight="1" thickBot="1">
      <c r="A6" s="120" t="s">
        <v>4</v>
      </c>
      <c r="B6" s="118"/>
      <c r="C6" s="119"/>
      <c r="D6" s="18" t="s">
        <v>20</v>
      </c>
      <c r="E6" s="19">
        <v>1</v>
      </c>
      <c r="F6" s="12">
        <f t="shared" si="0"/>
        <v>1</v>
      </c>
      <c r="G6" s="13"/>
      <c r="H6" s="1"/>
      <c r="I6" s="1"/>
      <c r="J6" s="1"/>
      <c r="K6" s="1"/>
      <c r="L6" s="1"/>
      <c r="M6" s="1"/>
      <c r="N6" s="1"/>
      <c r="O6" s="1"/>
    </row>
    <row r="7" spans="1:15" ht="18.75" customHeight="1">
      <c r="A7" s="69" t="s">
        <v>76</v>
      </c>
      <c r="B7" s="21">
        <f>B2*B3/3.25</f>
        <v>14.76923076923077</v>
      </c>
      <c r="C7" s="22" t="s">
        <v>3</v>
      </c>
      <c r="D7" s="18" t="s">
        <v>21</v>
      </c>
      <c r="E7" s="19">
        <v>2</v>
      </c>
      <c r="F7" s="12">
        <f t="shared" si="0"/>
        <v>1</v>
      </c>
      <c r="G7" s="13">
        <f>SUM(F2:F7,G2:G4)</f>
        <v>9</v>
      </c>
      <c r="H7" s="1"/>
      <c r="I7" s="1"/>
      <c r="J7" s="1"/>
      <c r="K7" s="1"/>
      <c r="L7" s="1"/>
      <c r="M7" s="1"/>
      <c r="N7" s="1"/>
      <c r="O7" s="1"/>
    </row>
    <row r="8" spans="1:15" ht="18.75" customHeight="1" thickBot="1">
      <c r="A8" s="70" t="s">
        <v>77</v>
      </c>
      <c r="B8" s="23">
        <f>B7/2</f>
        <v>7.384615384615385</v>
      </c>
      <c r="C8" s="24" t="s">
        <v>3</v>
      </c>
      <c r="D8" s="75" t="s">
        <v>70</v>
      </c>
      <c r="E8" s="12" t="s">
        <v>57</v>
      </c>
      <c r="F8" s="12">
        <v>1</v>
      </c>
      <c r="G8" s="13">
        <v>0.002</v>
      </c>
      <c r="H8" s="1"/>
      <c r="I8" s="1"/>
      <c r="J8" s="1"/>
      <c r="K8" s="1"/>
      <c r="L8" s="1"/>
      <c r="M8" s="1"/>
      <c r="N8" s="1"/>
      <c r="O8" s="1"/>
    </row>
    <row r="9" spans="1:15" ht="18.75" customHeight="1" thickBot="1">
      <c r="A9" s="104" t="s">
        <v>90</v>
      </c>
      <c r="B9" s="105"/>
      <c r="C9" s="106"/>
      <c r="D9" s="97">
        <f>(273+B4)/273</f>
        <v>1.0732600732600732</v>
      </c>
      <c r="E9" s="12" t="s">
        <v>58</v>
      </c>
      <c r="F9" s="12">
        <v>2</v>
      </c>
      <c r="G9" s="13">
        <v>0.003</v>
      </c>
      <c r="H9" s="1"/>
      <c r="I9" s="1"/>
      <c r="J9" s="1"/>
      <c r="K9" s="1"/>
      <c r="L9" s="1"/>
      <c r="M9" s="1"/>
      <c r="N9" s="1"/>
      <c r="O9" s="1"/>
    </row>
    <row r="10" spans="1:15" ht="18.75" customHeight="1" thickBot="1">
      <c r="A10" s="20" t="s">
        <v>5</v>
      </c>
      <c r="B10" s="25">
        <f>900*B7</f>
        <v>13292.307692307693</v>
      </c>
      <c r="C10" s="22" t="s">
        <v>6</v>
      </c>
      <c r="D10" s="98">
        <f>1/(EXP((-9.81*B5)/78624))</f>
        <v>1.0777361000434544</v>
      </c>
      <c r="E10" s="26"/>
      <c r="F10" s="26"/>
      <c r="G10" s="27"/>
      <c r="H10" s="1"/>
      <c r="I10" s="1"/>
      <c r="J10" s="1"/>
      <c r="K10" s="1"/>
      <c r="L10" s="1"/>
      <c r="M10" s="1"/>
      <c r="N10" s="1"/>
      <c r="O10" s="1"/>
    </row>
    <row r="11" spans="1:15" ht="18.75" customHeight="1">
      <c r="A11" s="28" t="s">
        <v>7</v>
      </c>
      <c r="B11" s="29">
        <f>100*B7</f>
        <v>1476.923076923077</v>
      </c>
      <c r="C11" s="30" t="s">
        <v>6</v>
      </c>
      <c r="D11" s="31" t="s">
        <v>17</v>
      </c>
      <c r="E11" s="32">
        <v>23</v>
      </c>
      <c r="F11" s="33" t="s">
        <v>10</v>
      </c>
      <c r="G11" s="34" t="str">
        <f>IF(B14&gt;E11,"vyhovuje","nevyhovuje")</f>
        <v>vyhovuje</v>
      </c>
      <c r="H11" s="1"/>
      <c r="I11" s="1"/>
      <c r="J11" s="1"/>
      <c r="K11" s="1"/>
      <c r="L11" s="1"/>
      <c r="M11" s="1"/>
      <c r="N11" s="1"/>
      <c r="O11" s="1"/>
    </row>
    <row r="12" spans="1:15" ht="18.75" customHeight="1">
      <c r="A12" s="28" t="s">
        <v>8</v>
      </c>
      <c r="B12" s="29">
        <f>((900*B7)-(25+B7)*B13)/2</f>
        <v>3066.923076923077</v>
      </c>
      <c r="C12" s="30" t="s">
        <v>6</v>
      </c>
      <c r="D12" s="35" t="s">
        <v>11</v>
      </c>
      <c r="E12" s="36">
        <f>MAX(B11/B14,B14)</f>
        <v>42.1978021978022</v>
      </c>
      <c r="F12" s="37" t="s">
        <v>10</v>
      </c>
      <c r="G12" s="38" t="str">
        <f>IF(B15&gt;E12,"vyhovuje","nevyhovuje")</f>
        <v>vyhovuje</v>
      </c>
      <c r="H12" s="1"/>
      <c r="I12" s="1"/>
      <c r="J12" s="1"/>
      <c r="K12" s="1"/>
      <c r="L12" s="1"/>
      <c r="M12" s="1"/>
      <c r="N12" s="1"/>
      <c r="O12" s="1"/>
    </row>
    <row r="13" spans="1:15" ht="18.75" customHeight="1" thickBot="1">
      <c r="A13" s="28" t="s">
        <v>9</v>
      </c>
      <c r="B13" s="29">
        <f>2*B14+2*B15</f>
        <v>180</v>
      </c>
      <c r="C13" s="30" t="s">
        <v>10</v>
      </c>
      <c r="D13" s="35" t="s">
        <v>12</v>
      </c>
      <c r="E13" s="36">
        <f>MIN(B12/B14,2*B14)</f>
        <v>70</v>
      </c>
      <c r="F13" s="37" t="s">
        <v>10</v>
      </c>
      <c r="G13" s="38" t="str">
        <f>IF(B15&lt;E13,"vyhovuje","nevyhovuje")</f>
        <v>vyhovuje</v>
      </c>
      <c r="H13" s="1"/>
      <c r="I13" s="1"/>
      <c r="J13" s="1"/>
      <c r="K13" s="1"/>
      <c r="L13" s="1"/>
      <c r="M13" s="1"/>
      <c r="N13" s="1"/>
      <c r="O13" s="1"/>
    </row>
    <row r="14" spans="1:15" ht="18.75" customHeight="1">
      <c r="A14" s="5" t="s">
        <v>27</v>
      </c>
      <c r="B14" s="86">
        <v>35</v>
      </c>
      <c r="C14" s="6" t="s">
        <v>10</v>
      </c>
      <c r="D14" s="39" t="s">
        <v>13</v>
      </c>
      <c r="E14" s="40">
        <f>25+B7</f>
        <v>39.769230769230774</v>
      </c>
      <c r="F14" s="41" t="s">
        <v>10</v>
      </c>
      <c r="G14" s="42" t="str">
        <f>IF(B16&gt;E14,"vyhovuje","nevyhovuje")</f>
        <v>vyhovuje</v>
      </c>
      <c r="H14" s="1"/>
      <c r="I14" s="1"/>
      <c r="J14" s="1"/>
      <c r="K14" s="1"/>
      <c r="L14" s="1"/>
      <c r="M14" s="4"/>
      <c r="N14" s="1"/>
      <c r="O14" s="1"/>
    </row>
    <row r="15" spans="1:15" ht="18.75" customHeight="1">
      <c r="A15" s="9" t="s">
        <v>28</v>
      </c>
      <c r="B15" s="87">
        <v>55</v>
      </c>
      <c r="C15" s="10" t="s">
        <v>10</v>
      </c>
      <c r="D15" s="35" t="s">
        <v>22</v>
      </c>
      <c r="E15" s="36">
        <f>IF(B20=E6,1.5*SQRT(B7),1.3*SQRT(B7))</f>
        <v>5.764613536983137</v>
      </c>
      <c r="F15" s="37" t="s">
        <v>19</v>
      </c>
      <c r="G15" s="38" t="str">
        <f>IF(B19&gt;E15,"vyhovuje","nevyhovuje")</f>
        <v>vyhovuje</v>
      </c>
      <c r="H15" s="1"/>
      <c r="I15" s="1"/>
      <c r="J15" s="1"/>
      <c r="K15" s="1"/>
      <c r="L15" s="1"/>
      <c r="M15" s="4"/>
      <c r="N15" s="1"/>
      <c r="O15" s="1"/>
    </row>
    <row r="16" spans="1:15" ht="18.75" customHeight="1" thickBot="1">
      <c r="A16" s="16" t="s">
        <v>29</v>
      </c>
      <c r="B16" s="43">
        <f>((900*B7)-(2*B14*B15))/B13</f>
        <v>52.45726495726496</v>
      </c>
      <c r="C16" s="44" t="s">
        <v>10</v>
      </c>
      <c r="D16" s="45" t="s">
        <v>51</v>
      </c>
      <c r="E16" s="46" t="s">
        <v>52</v>
      </c>
      <c r="F16" s="47" t="s">
        <v>50</v>
      </c>
      <c r="G16" s="48" t="str">
        <f>IF(E27&gt;1.2,IF(E27&lt;6,"vyhovuje","nevyhovuje"),"nevyhovuje")</f>
        <v>vyhovuje</v>
      </c>
      <c r="H16" s="1"/>
      <c r="I16" s="1"/>
      <c r="J16" s="2"/>
      <c r="K16" s="1"/>
      <c r="L16" s="1"/>
      <c r="M16" s="4"/>
      <c r="N16" s="1"/>
      <c r="O16" s="1"/>
    </row>
    <row r="17" spans="1:15" ht="18.75" customHeight="1" thickBot="1">
      <c r="A17" s="104" t="s">
        <v>18</v>
      </c>
      <c r="B17" s="105"/>
      <c r="C17" s="106"/>
      <c r="D17" s="120" t="s">
        <v>61</v>
      </c>
      <c r="E17" s="118"/>
      <c r="F17" s="119"/>
      <c r="G17" s="99" t="s">
        <v>88</v>
      </c>
      <c r="H17" s="1"/>
      <c r="I17" s="1"/>
      <c r="J17" s="2"/>
      <c r="K17" s="1"/>
      <c r="L17" s="1"/>
      <c r="M17" s="4"/>
      <c r="N17" s="1"/>
      <c r="O17" s="1"/>
    </row>
    <row r="18" spans="1:15" ht="18.75" customHeight="1" thickBot="1">
      <c r="A18" s="50" t="s">
        <v>48</v>
      </c>
      <c r="B18" s="86">
        <v>1.2</v>
      </c>
      <c r="C18" s="88" t="s">
        <v>19</v>
      </c>
      <c r="D18" s="51" t="s">
        <v>62</v>
      </c>
      <c r="E18" s="52" t="s">
        <v>63</v>
      </c>
      <c r="F18" s="53" t="s">
        <v>64</v>
      </c>
      <c r="G18" s="99" t="s">
        <v>92</v>
      </c>
      <c r="H18" s="1"/>
      <c r="I18" s="1"/>
      <c r="J18" s="2"/>
      <c r="K18" s="1"/>
      <c r="L18" s="1"/>
      <c r="M18" s="1"/>
      <c r="N18" s="1"/>
      <c r="O18" s="1"/>
    </row>
    <row r="19" spans="1:15" ht="18.75" customHeight="1">
      <c r="A19" s="68" t="s">
        <v>74</v>
      </c>
      <c r="B19" s="87">
        <v>6</v>
      </c>
      <c r="C19" s="89" t="s">
        <v>19</v>
      </c>
      <c r="D19" s="79" t="s">
        <v>82</v>
      </c>
      <c r="E19" s="54">
        <v>0.1</v>
      </c>
      <c r="F19" s="90">
        <v>0</v>
      </c>
      <c r="G19" s="13">
        <f aca="true" t="shared" si="1" ref="G19:G24">E19*F19</f>
        <v>0</v>
      </c>
      <c r="H19" s="1"/>
      <c r="I19" s="1"/>
      <c r="J19" s="1"/>
      <c r="K19" s="1"/>
      <c r="L19" s="1"/>
      <c r="M19" s="1"/>
      <c r="N19" s="1"/>
      <c r="O19" s="1"/>
    </row>
    <row r="20" spans="1:15" ht="18.75" customHeight="1">
      <c r="A20" s="28" t="s">
        <v>26</v>
      </c>
      <c r="B20" s="121">
        <v>1</v>
      </c>
      <c r="C20" s="122"/>
      <c r="D20" s="79" t="s">
        <v>83</v>
      </c>
      <c r="E20" s="55">
        <v>0.2</v>
      </c>
      <c r="F20" s="91">
        <v>0</v>
      </c>
      <c r="G20" s="13">
        <f t="shared" si="1"/>
        <v>0</v>
      </c>
      <c r="H20" s="1"/>
      <c r="I20" s="1"/>
      <c r="J20" s="1"/>
      <c r="K20" s="1"/>
      <c r="L20" s="1"/>
      <c r="M20" s="1"/>
      <c r="N20" s="1"/>
      <c r="O20" s="1"/>
    </row>
    <row r="21" spans="1:15" ht="18.75" customHeight="1">
      <c r="A21" s="68" t="s">
        <v>75</v>
      </c>
      <c r="B21" s="56">
        <f>IF(B20=E6,B7,0)</f>
        <v>14.76923076923077</v>
      </c>
      <c r="C21" s="57" t="s">
        <v>23</v>
      </c>
      <c r="D21" s="79" t="s">
        <v>84</v>
      </c>
      <c r="E21" s="55">
        <v>0.4</v>
      </c>
      <c r="F21" s="91">
        <v>4</v>
      </c>
      <c r="G21" s="13">
        <f t="shared" si="1"/>
        <v>1.6</v>
      </c>
      <c r="H21" s="1"/>
      <c r="I21" s="1"/>
      <c r="J21" s="1"/>
      <c r="K21" s="1"/>
      <c r="L21" s="1"/>
      <c r="M21" s="1"/>
      <c r="N21" s="1"/>
      <c r="O21" s="1"/>
    </row>
    <row r="22" spans="1:15" ht="18.75" customHeight="1">
      <c r="A22" s="96">
        <v>1</v>
      </c>
      <c r="B22" s="87">
        <v>18</v>
      </c>
      <c r="C22" s="10" t="s">
        <v>10</v>
      </c>
      <c r="D22" s="79" t="s">
        <v>85</v>
      </c>
      <c r="E22" s="55">
        <v>0.7</v>
      </c>
      <c r="F22" s="91">
        <v>0</v>
      </c>
      <c r="G22" s="13">
        <f t="shared" si="1"/>
        <v>0</v>
      </c>
      <c r="H22" s="1"/>
      <c r="I22" s="1"/>
      <c r="J22" s="1"/>
      <c r="K22" s="1"/>
      <c r="L22" s="1"/>
      <c r="M22" s="1"/>
      <c r="N22" s="1"/>
      <c r="O22" s="1"/>
    </row>
    <row r="23" spans="1:15" ht="18.75" customHeight="1">
      <c r="A23" s="68" t="str">
        <f>IF(A22=1,"Rozměr B tahu"," ")</f>
        <v>Rozměr B tahu</v>
      </c>
      <c r="B23" s="87">
        <v>18</v>
      </c>
      <c r="C23" s="10" t="str">
        <f>IF(A22=1,"cm"," ")</f>
        <v>cm</v>
      </c>
      <c r="D23" s="79" t="s">
        <v>86</v>
      </c>
      <c r="E23" s="55">
        <v>0.8</v>
      </c>
      <c r="F23" s="91">
        <v>0</v>
      </c>
      <c r="G23" s="13">
        <f t="shared" si="1"/>
        <v>0</v>
      </c>
      <c r="H23" s="1"/>
      <c r="I23" s="1"/>
      <c r="J23" s="1"/>
      <c r="K23" s="1"/>
      <c r="L23" s="1"/>
      <c r="M23" s="1"/>
      <c r="N23" s="1"/>
      <c r="O23" s="1"/>
    </row>
    <row r="24" spans="1:15" ht="18.75" customHeight="1" thickBot="1">
      <c r="A24" s="70" t="s">
        <v>89</v>
      </c>
      <c r="B24" s="59">
        <f>IF(A22=1,B22*B23/10000,(3.14*(B22/2)^2)/10000)</f>
        <v>0.0324</v>
      </c>
      <c r="C24" s="60" t="s">
        <v>53</v>
      </c>
      <c r="D24" s="80" t="s">
        <v>87</v>
      </c>
      <c r="E24" s="61">
        <v>1.2</v>
      </c>
      <c r="F24" s="92">
        <v>6</v>
      </c>
      <c r="G24" s="13">
        <f t="shared" si="1"/>
        <v>7.199999999999999</v>
      </c>
      <c r="H24" s="1"/>
      <c r="I24" s="1"/>
      <c r="J24" s="1"/>
      <c r="K24" s="1"/>
      <c r="L24" s="1"/>
      <c r="M24" s="1"/>
      <c r="N24" s="1"/>
      <c r="O24" s="1"/>
    </row>
    <row r="25" spans="1:15" ht="18.75" customHeight="1" thickBot="1">
      <c r="A25" s="104" t="s">
        <v>24</v>
      </c>
      <c r="B25" s="105"/>
      <c r="C25" s="106"/>
      <c r="D25" s="104" t="s">
        <v>46</v>
      </c>
      <c r="E25" s="118"/>
      <c r="F25" s="119"/>
      <c r="G25" s="13">
        <f>SUM(G19:G24)</f>
        <v>8.799999999999999</v>
      </c>
      <c r="H25" s="1"/>
      <c r="I25" s="1"/>
      <c r="J25" s="1"/>
      <c r="K25" s="1"/>
      <c r="L25" s="1"/>
      <c r="M25" s="1"/>
      <c r="N25" s="1"/>
      <c r="O25" s="1"/>
    </row>
    <row r="26" spans="1:15" ht="18.75" customHeight="1">
      <c r="A26" s="50" t="s">
        <v>30</v>
      </c>
      <c r="B26" s="78">
        <f>0.78*B7</f>
        <v>11.520000000000001</v>
      </c>
      <c r="C26" s="22" t="s">
        <v>25</v>
      </c>
      <c r="D26" s="50" t="s">
        <v>47</v>
      </c>
      <c r="E26" s="21">
        <f>9.81*B18*(B31-B32)+B38</f>
        <v>12.111950370435336</v>
      </c>
      <c r="F26" s="62" t="s">
        <v>49</v>
      </c>
      <c r="G26" s="49"/>
      <c r="H26" s="1"/>
      <c r="I26" s="1"/>
      <c r="J26" s="1"/>
      <c r="K26" s="1"/>
      <c r="L26" s="1"/>
      <c r="M26" s="1"/>
      <c r="N26" s="1"/>
      <c r="O26" s="1"/>
    </row>
    <row r="27" spans="1:15" ht="18.75" customHeight="1">
      <c r="A27" s="58" t="s">
        <v>31</v>
      </c>
      <c r="B27" s="63">
        <v>2.95</v>
      </c>
      <c r="C27" s="30"/>
      <c r="D27" s="58" t="s">
        <v>51</v>
      </c>
      <c r="E27" s="63">
        <f>B29/B24</f>
        <v>1.4394378453002037</v>
      </c>
      <c r="F27" s="64" t="s">
        <v>50</v>
      </c>
      <c r="G27" s="74" t="s">
        <v>81</v>
      </c>
      <c r="H27" s="1"/>
      <c r="I27" s="1"/>
      <c r="J27" s="1"/>
      <c r="K27" s="1"/>
      <c r="L27" s="1"/>
      <c r="M27" s="1"/>
      <c r="N27" s="1"/>
      <c r="O27" s="1"/>
    </row>
    <row r="28" spans="1:15" ht="18.75" customHeight="1">
      <c r="A28" s="58" t="s">
        <v>36</v>
      </c>
      <c r="B28" s="76">
        <f>0.00256*B7*D9*D10</f>
        <v>0.04373360169984619</v>
      </c>
      <c r="C28" s="64" t="s">
        <v>32</v>
      </c>
      <c r="D28" s="58" t="s">
        <v>55</v>
      </c>
      <c r="E28" s="65">
        <f>IF(A22=1,4*B24/((B22*2+B23*2)/100),B22/100)</f>
        <v>0.18</v>
      </c>
      <c r="F28" s="64" t="s">
        <v>19</v>
      </c>
      <c r="G28" s="66" t="s">
        <v>71</v>
      </c>
      <c r="H28" s="3"/>
      <c r="I28" s="3"/>
      <c r="J28" s="3"/>
      <c r="K28" s="3"/>
      <c r="L28" s="3"/>
      <c r="M28" s="3"/>
      <c r="N28" s="3"/>
      <c r="O28" s="3"/>
    </row>
    <row r="29" spans="1:15" ht="18.75" customHeight="1">
      <c r="A29" s="58" t="s">
        <v>37</v>
      </c>
      <c r="B29" s="76">
        <f>0.00273*B7*D9*D10</f>
        <v>0.0466377861877266</v>
      </c>
      <c r="C29" s="64" t="s">
        <v>32</v>
      </c>
      <c r="D29" s="93" t="s">
        <v>56</v>
      </c>
      <c r="E29" s="94">
        <v>2</v>
      </c>
      <c r="F29" s="95">
        <f>VLOOKUP(E29,F8:G9,2)</f>
        <v>0.003</v>
      </c>
      <c r="G29" s="66" t="s">
        <v>72</v>
      </c>
      <c r="H29" s="1"/>
      <c r="I29" s="1"/>
      <c r="J29" s="1"/>
      <c r="K29" s="1"/>
      <c r="L29" s="1"/>
      <c r="M29" s="1"/>
      <c r="N29" s="1"/>
      <c r="O29" s="1"/>
    </row>
    <row r="30" spans="1:15" ht="18.75" customHeight="1">
      <c r="A30" s="58" t="s">
        <v>38</v>
      </c>
      <c r="B30" s="76">
        <f>0.0035*B7</f>
        <v>0.0516923076923077</v>
      </c>
      <c r="C30" s="64" t="s">
        <v>39</v>
      </c>
      <c r="D30" s="58" t="s">
        <v>59</v>
      </c>
      <c r="E30" s="65">
        <f>1/((1.14+2*LOG10(E28/F29))^2)</f>
        <v>0.04534066376542475</v>
      </c>
      <c r="F30" s="64"/>
      <c r="G30" s="13"/>
      <c r="H30" s="1"/>
      <c r="I30" s="1"/>
      <c r="J30" s="1"/>
      <c r="K30" s="1"/>
      <c r="L30" s="1"/>
      <c r="M30" s="1"/>
      <c r="N30" s="1"/>
      <c r="O30" s="1"/>
    </row>
    <row r="31" spans="1:15" ht="18.75" customHeight="1">
      <c r="A31" s="58" t="s">
        <v>40</v>
      </c>
      <c r="B31" s="77">
        <f>1.293/(D9*D10)</f>
        <v>1.1178437970908608</v>
      </c>
      <c r="C31" s="64" t="s">
        <v>41</v>
      </c>
      <c r="D31" s="58" t="s">
        <v>60</v>
      </c>
      <c r="E31" s="65">
        <f>(B32*E27^2)/2</f>
        <v>1.148223575442136</v>
      </c>
      <c r="F31" s="64" t="s">
        <v>49</v>
      </c>
      <c r="G31" s="49"/>
      <c r="H31" s="1"/>
      <c r="I31" s="1"/>
      <c r="J31" s="1"/>
      <c r="K31" s="1"/>
      <c r="L31" s="1"/>
      <c r="M31" s="1"/>
      <c r="N31" s="1"/>
      <c r="O31" s="1"/>
    </row>
    <row r="32" spans="1:15" ht="18.75" customHeight="1">
      <c r="A32" s="58" t="s">
        <v>42</v>
      </c>
      <c r="B32" s="77">
        <f>1.282/(D9*D10)</f>
        <v>1.1083339117327793</v>
      </c>
      <c r="C32" s="64" t="s">
        <v>43</v>
      </c>
      <c r="D32" s="58" t="s">
        <v>54</v>
      </c>
      <c r="E32" s="65">
        <f>E30*E31*B19/E28</f>
        <v>1.7353739687218568</v>
      </c>
      <c r="F32" s="64" t="s">
        <v>49</v>
      </c>
      <c r="G32" s="49"/>
      <c r="H32" s="1"/>
      <c r="I32" s="1"/>
      <c r="J32" s="1"/>
      <c r="K32" s="1"/>
      <c r="L32" s="1"/>
      <c r="M32" s="1"/>
      <c r="N32" s="1"/>
      <c r="O32" s="1"/>
    </row>
    <row r="33" spans="1:15" ht="18.75" customHeight="1" thickBot="1">
      <c r="A33" s="58" t="s">
        <v>44</v>
      </c>
      <c r="B33" s="29">
        <v>700</v>
      </c>
      <c r="C33" s="64" t="s">
        <v>34</v>
      </c>
      <c r="D33" s="45" t="s">
        <v>65</v>
      </c>
      <c r="E33" s="65">
        <f>E31*G25</f>
        <v>10.104367463890796</v>
      </c>
      <c r="F33" s="64" t="s">
        <v>49</v>
      </c>
      <c r="G33" s="49"/>
      <c r="H33" s="1"/>
      <c r="I33" s="1"/>
      <c r="J33" s="1"/>
      <c r="K33" s="1"/>
      <c r="L33" s="1"/>
      <c r="M33" s="1"/>
      <c r="N33" s="1"/>
      <c r="O33" s="1"/>
    </row>
    <row r="34" spans="1:15" ht="18.75" customHeight="1" thickBot="1">
      <c r="A34" s="58" t="s">
        <v>45</v>
      </c>
      <c r="B34" s="67">
        <f>550*EXP((-0.83*B19)/E15)</f>
        <v>231.83522643472645</v>
      </c>
      <c r="C34" s="64" t="s">
        <v>34</v>
      </c>
      <c r="D34" s="104" t="s">
        <v>66</v>
      </c>
      <c r="E34" s="105"/>
      <c r="F34" s="105"/>
      <c r="G34" s="106"/>
      <c r="H34" s="1"/>
      <c r="I34" s="1"/>
      <c r="J34" s="1"/>
      <c r="K34" s="1"/>
      <c r="L34" s="1"/>
      <c r="M34" s="1"/>
      <c r="N34" s="1"/>
      <c r="O34" s="1"/>
    </row>
    <row r="35" spans="1:15" ht="18.75" customHeight="1">
      <c r="A35" s="9" t="s">
        <v>91</v>
      </c>
      <c r="B35" s="87">
        <v>450</v>
      </c>
      <c r="C35" s="10" t="s">
        <v>34</v>
      </c>
      <c r="D35" s="71" t="s">
        <v>67</v>
      </c>
      <c r="E35" s="110" t="str">
        <f>IF(E26&gt;(E32+E33),IF(E26&lt;(1.05*(E32+E33)),"v pořádku",CONCATENATE("snížit tah o ",ROUND((E26-(E32+E33)),2),"Pa")),CONCATENATE("zvýšit tah o ",ROUND(((E32+E33)-E26),2),"Pa"))</f>
        <v>v pořádku</v>
      </c>
      <c r="F35" s="111"/>
      <c r="G35" s="42" t="str">
        <f>IF((E32+E33)&lt;E26,IF(E26&lt;(1.05*(E32+E33)),"vyhovuje","nevyhovuje"),"nevyhovuje")</f>
        <v>vyhovuje</v>
      </c>
      <c r="H35" s="1"/>
      <c r="I35" s="1"/>
      <c r="J35" s="1"/>
      <c r="K35" s="1"/>
      <c r="L35" s="1"/>
      <c r="M35" s="1"/>
      <c r="N35" s="1"/>
      <c r="O35" s="1"/>
    </row>
    <row r="36" spans="1:15" ht="18.75" customHeight="1">
      <c r="A36" s="107" t="s">
        <v>73</v>
      </c>
      <c r="B36" s="112">
        <v>60</v>
      </c>
      <c r="C36" s="113" t="s">
        <v>34</v>
      </c>
      <c r="D36" s="72" t="s">
        <v>68</v>
      </c>
      <c r="E36" s="100" t="str">
        <f>IF(B36&gt;45,CONCATENATE(B36," °C &gt; 45 °C"),CONCATENATE(B36," °C &lt; 45 °C"))</f>
        <v>60 °C &gt; 45 °C</v>
      </c>
      <c r="F36" s="101"/>
      <c r="G36" s="38" t="str">
        <f>IF(B36&gt;45,"vyhovuje","nevyhovuje")</f>
        <v>vyhovuje</v>
      </c>
      <c r="H36" s="1"/>
      <c r="I36" s="1"/>
      <c r="J36" s="1"/>
      <c r="K36" s="1"/>
      <c r="L36" s="1"/>
      <c r="M36" s="1"/>
      <c r="N36" s="1"/>
      <c r="O36" s="1"/>
    </row>
    <row r="37" spans="1:15" ht="18.75" customHeight="1" thickBot="1">
      <c r="A37" s="107"/>
      <c r="B37" s="112"/>
      <c r="C37" s="113"/>
      <c r="D37" s="73" t="s">
        <v>69</v>
      </c>
      <c r="E37" s="102" t="str">
        <f>IF((101.09-0.0941*(B35-B34)-0.000006275*((B35-B34)^2)-0.000000003173*((B35-B34)^3))&gt;78,CONCATENATE(ROUND((101.09-0.0941*(B35-B34)-0.000006275*((B35-B34)^2)-0.000000003173*((B35-B34)^3)),1)," % &gt; 78 %"),CONCATENATE(ROUND((101.09-0.0941*(B35-B34)-0.000006275*((B35-B34)^2)-0.000000003173*((B35-B34)^3)),1)," % &lt; 78 %"))</f>
        <v>80,2 % &gt; 78 %</v>
      </c>
      <c r="F37" s="103"/>
      <c r="G37" s="38" t="str">
        <f>IF((101.09-0.0941*(B35-B34)-0.000006275*((B35-B34)^2)-0.000000003173*((B35-B34)^3))&gt;78,"vyhovuje","nevyhovuje")</f>
        <v>vyhovuje</v>
      </c>
      <c r="H37" s="1"/>
      <c r="I37" s="1"/>
      <c r="J37" s="1"/>
      <c r="K37" s="1"/>
      <c r="L37" s="1"/>
      <c r="M37" s="1"/>
      <c r="N37" s="1"/>
      <c r="O37" s="1"/>
    </row>
    <row r="38" spans="1:15" ht="18.75" customHeight="1" thickBot="1">
      <c r="A38" s="16" t="s">
        <v>78</v>
      </c>
      <c r="B38" s="85">
        <v>12</v>
      </c>
      <c r="C38" s="17" t="s">
        <v>49</v>
      </c>
      <c r="D38" s="108" t="str">
        <f>IF(G7=E3,"všechny podmínky vyhovují",IF(G7=(E3-1),"jedna z podmínek nevyhovuje","některé podmínky nevyhovují"))</f>
        <v>všechny podmínky vyhovují</v>
      </c>
      <c r="E38" s="108"/>
      <c r="F38" s="108"/>
      <c r="G38" s="109"/>
      <c r="H38" s="1"/>
      <c r="I38" s="1"/>
      <c r="J38" s="1"/>
      <c r="K38" s="1"/>
      <c r="L38" s="1"/>
      <c r="M38" s="1"/>
      <c r="N38" s="1"/>
      <c r="O38" s="1"/>
    </row>
    <row r="39" spans="8:15" ht="18.75" customHeight="1">
      <c r="H39" s="1"/>
      <c r="I39" s="1"/>
      <c r="J39" s="1"/>
      <c r="K39" s="1"/>
      <c r="L39" s="1"/>
      <c r="M39" s="1"/>
      <c r="N39" s="1"/>
      <c r="O39" s="1"/>
    </row>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9.5" customHeight="1"/>
    <row r="75" ht="19.5" customHeight="1"/>
  </sheetData>
  <sheetProtection password="DDA7" sheet="1" objects="1" scenarios="1" selectLockedCells="1"/>
  <mergeCells count="16">
    <mergeCell ref="A1:G1"/>
    <mergeCell ref="A17:C17"/>
    <mergeCell ref="A25:C25"/>
    <mergeCell ref="D25:F25"/>
    <mergeCell ref="D17:F17"/>
    <mergeCell ref="B20:C20"/>
    <mergeCell ref="A6:C6"/>
    <mergeCell ref="A9:C9"/>
    <mergeCell ref="E36:F36"/>
    <mergeCell ref="E37:F37"/>
    <mergeCell ref="D34:G34"/>
    <mergeCell ref="A36:A37"/>
    <mergeCell ref="D38:G38"/>
    <mergeCell ref="E35:F35"/>
    <mergeCell ref="B36:B37"/>
    <mergeCell ref="C36:C37"/>
  </mergeCells>
  <conditionalFormatting sqref="G11:G15">
    <cfRule type="cellIs" priority="17" dxfId="4" operator="equal" stopIfTrue="1">
      <formula>$D$2</formula>
    </cfRule>
    <cfRule type="cellIs" priority="18" dxfId="6" operator="equal" stopIfTrue="1">
      <formula>$D$3</formula>
    </cfRule>
  </conditionalFormatting>
  <conditionalFormatting sqref="G16">
    <cfRule type="cellIs" priority="13" dxfId="4" operator="equal" stopIfTrue="1">
      <formula>$D$2</formula>
    </cfRule>
    <cfRule type="cellIs" priority="14" dxfId="6" operator="equal" stopIfTrue="1">
      <formula>$D$3</formula>
    </cfRule>
  </conditionalFormatting>
  <conditionalFormatting sqref="G35:G37">
    <cfRule type="cellIs" priority="11" dxfId="4" operator="equal" stopIfTrue="1">
      <formula>$D$2</formula>
    </cfRule>
    <cfRule type="cellIs" priority="12" dxfId="6" operator="equal" stopIfTrue="1">
      <formula>$D$3</formula>
    </cfRule>
  </conditionalFormatting>
  <conditionalFormatting sqref="G28">
    <cfRule type="cellIs" priority="6" dxfId="6" operator="equal" stopIfTrue="1">
      <formula>$D$3</formula>
    </cfRule>
    <cfRule type="cellIs" priority="8" dxfId="6" operator="equal" stopIfTrue="1">
      <formula>$D$3</formula>
    </cfRule>
  </conditionalFormatting>
  <conditionalFormatting sqref="G29">
    <cfRule type="cellIs" priority="5" dxfId="4" operator="equal" stopIfTrue="1">
      <formula>$D$2</formula>
    </cfRule>
    <cfRule type="cellIs" priority="7" dxfId="4" operator="equal" stopIfTrue="1">
      <formula>$D$2</formula>
    </cfRule>
  </conditionalFormatting>
  <conditionalFormatting sqref="D38">
    <cfRule type="cellIs" priority="2" dxfId="3" operator="equal" stopIfTrue="1">
      <formula>$G$27</formula>
    </cfRule>
    <cfRule type="cellIs" priority="3" dxfId="2" operator="equal" stopIfTrue="1">
      <formula>$G$28</formula>
    </cfRule>
    <cfRule type="cellIs" priority="4" dxfId="1" operator="equal" stopIfTrue="1">
      <formula>$G$29</formula>
    </cfRule>
  </conditionalFormatting>
  <conditionalFormatting sqref="B23">
    <cfRule type="expression" priority="1" dxfId="0" stopIfTrue="1">
      <formula>"A22=1"</formula>
    </cfRule>
  </conditionalFormatting>
  <printOptions/>
  <pageMargins left="0.787401575" right="0.787401575" top="0.984251969" bottom="0.984251969" header="0.4921259845" footer="0.4921259845"/>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VEC</dc:creator>
  <cp:keywords/>
  <dc:description/>
  <cp:lastModifiedBy>Valued Acer Customer</cp:lastModifiedBy>
  <cp:lastPrinted>2014-02-26T11:52:24Z</cp:lastPrinted>
  <dcterms:created xsi:type="dcterms:W3CDTF">2014-02-04T09:25:40Z</dcterms:created>
  <dcterms:modified xsi:type="dcterms:W3CDTF">2016-08-22T15:09:23Z</dcterms:modified>
  <cp:category/>
  <cp:version/>
  <cp:contentType/>
  <cp:contentStatus/>
</cp:coreProperties>
</file>